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umma College\Aanbesteding 2022\Uitlever\"/>
    </mc:Choice>
  </mc:AlternateContent>
  <xr:revisionPtr revIDLastSave="0" documentId="8_{12EE45AB-F1E5-4957-B636-381D6432A8F5}" xr6:coauthVersionLast="45" xr6:coauthVersionMax="45" xr10:uidLastSave="{00000000-0000-0000-0000-000000000000}"/>
  <bookViews>
    <workbookView xWindow="6420" yWindow="2430" windowWidth="23040" windowHeight="12195" activeTab="1" xr2:uid="{3515B378-A23D-4C3C-9033-0982C78B763F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Totaal" sheetId="10" r:id="rId10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9">Totaal!$1:$3</definedName>
    <definedName name="_xlnm.Print_Titles" localSheetId="6">'Totaalblad Objecten'!$1:$3</definedName>
    <definedName name="catdw_1_AB_1">Categorienormen!$F$32</definedName>
    <definedName name="catdw_1_AV_42">Categorienormen!$F$41</definedName>
    <definedName name="catdw_1_AV_48">Categorienormen!$F$40</definedName>
    <definedName name="catdw_1_BB_1">Categorienormen!$F$6</definedName>
    <definedName name="catdw_1_BV_42">Categorienormen!$F$14</definedName>
    <definedName name="catdw_1_BV_48">Categorienormen!$F$16</definedName>
    <definedName name="catdw_1_BV_51">Categorienormen!$F$15</definedName>
    <definedName name="catdw_1_DB_1">Categorienormen!$F$27</definedName>
    <definedName name="catdw_1_DV_42">Categorienormen!$F$29</definedName>
    <definedName name="catdw_1_EB_1">Categorienormen!$F$33</definedName>
    <definedName name="catdw_1_EV_42">Categorienormen!$F$42</definedName>
    <definedName name="catdw_1_EV_48">Categorienormen!$F$43</definedName>
    <definedName name="catdw_1_FB_1">Categorienormen!$F$34</definedName>
    <definedName name="catdw_1_FV_42">Categorienormen!$F$44</definedName>
    <definedName name="catdw_1_GB_1">Categorienormen!$F$35</definedName>
    <definedName name="catdw_1_GV_42">Categorienormen!$F$45</definedName>
    <definedName name="catdw_1_KB_1">Categorienormen!$F$36</definedName>
    <definedName name="catdw_1_KV_42">Categorienormen!$F$46</definedName>
    <definedName name="catdw_1_KV_51">Categorienormen!$F$47</definedName>
    <definedName name="catdw_1_LCB_1">Categorienormen!$F$8</definedName>
    <definedName name="catdw_1_LCV_42">Categorienormen!$F$9</definedName>
    <definedName name="catdw_1_LTB_1">Categorienormen!$F$10</definedName>
    <definedName name="catdw_1_LTV_42">Categorienormen!$F$12</definedName>
    <definedName name="catdw_1_LTV_48">Categorienormen!$F$11</definedName>
    <definedName name="catdw_1_LTV_51">Categorienormen!$F$13</definedName>
    <definedName name="catdw_1_OB_1">Categorienormen!$F$7</definedName>
    <definedName name="catdw_1_OV_42">Categorienormen!$F$18</definedName>
    <definedName name="catdw_1_OV_51">Categorienormen!$F$17</definedName>
    <definedName name="catdw_1_PAB_1">Categorienormen!$F$19</definedName>
    <definedName name="catdw_1_PAV_42">Categorienormen!$F$20</definedName>
    <definedName name="catdw_1_PBB_1">Categorienormen!$F$21</definedName>
    <definedName name="catdw_1_PBV_42">Categorienormen!$F$22</definedName>
    <definedName name="catdw_1_PCB_1">Categorienormen!$F$23</definedName>
    <definedName name="catdw_1_PCV_42">Categorienormen!$F$24</definedName>
    <definedName name="catdw_1_PDB_1">Categorienormen!$F$25</definedName>
    <definedName name="catdw_1_PDV_42">Categorienormen!$F$26</definedName>
    <definedName name="catdw_1_RB_1">Categorienormen!$F$37</definedName>
    <definedName name="catdw_1_RV_42">Categorienormen!$F$48</definedName>
    <definedName name="catdw_1_SB_1">Categorienormen!$F$28</definedName>
    <definedName name="catdw_1_SV_42">Categorienormen!$F$31</definedName>
    <definedName name="catdw_1_SV_48">Categorienormen!$F$30</definedName>
    <definedName name="catdw_1_TB_1">Categorienormen!$F$38</definedName>
    <definedName name="catdw_1_TV_42">Categorienormen!$F$49</definedName>
    <definedName name="catdw_1_TV_48">Categorienormen!$F$50</definedName>
    <definedName name="catdw_1_VB_1">Categorienormen!$F$39</definedName>
    <definedName name="catdw_1_VV_42">Categorienormen!$F$51</definedName>
    <definedName name="catdw_1_VV_48">Categorienormen!$F$52</definedName>
    <definedName name="catdw_1_VV_51">Categorienormen!$F$53</definedName>
    <definedName name="catfd_1_AB_1">Categorienormen!$C$32</definedName>
    <definedName name="catfd_1_AV_42">Categorienormen!$C$41</definedName>
    <definedName name="catfd_1_AV_48">Categorienormen!$C$40</definedName>
    <definedName name="catfd_1_BB_1">Categorienormen!$C$6</definedName>
    <definedName name="catfd_1_BV_42">Categorienormen!$C$14</definedName>
    <definedName name="catfd_1_BV_48">Categorienormen!$C$16</definedName>
    <definedName name="catfd_1_BV_51">Categorienormen!$C$15</definedName>
    <definedName name="catfd_1_DB_1">Categorienormen!$C$27</definedName>
    <definedName name="catfd_1_DV_42">Categorienormen!$C$29</definedName>
    <definedName name="catfd_1_EB_1">Categorienormen!$C$33</definedName>
    <definedName name="catfd_1_EV_42">Categorienormen!$C$42</definedName>
    <definedName name="catfd_1_EV_48">Categorienormen!$C$43</definedName>
    <definedName name="catfd_1_FB_1">Categorienormen!$C$34</definedName>
    <definedName name="catfd_1_FV_42">Categorienormen!$C$44</definedName>
    <definedName name="catfd_1_GB_1">Categorienormen!$C$35</definedName>
    <definedName name="catfd_1_GV_42">Categorienormen!$C$45</definedName>
    <definedName name="catfd_1_KB_1">Categorienormen!$C$36</definedName>
    <definedName name="catfd_1_KV_42">Categorienormen!$C$46</definedName>
    <definedName name="catfd_1_KV_51">Categorienormen!$C$47</definedName>
    <definedName name="catfd_1_LCB_1">Categorienormen!$C$8</definedName>
    <definedName name="catfd_1_LCV_42">Categorienormen!$C$9</definedName>
    <definedName name="catfd_1_LTB_1">Categorienormen!$C$10</definedName>
    <definedName name="catfd_1_LTV_42">Categorienormen!$C$12</definedName>
    <definedName name="catfd_1_LTV_48">Categorienormen!$C$11</definedName>
    <definedName name="catfd_1_LTV_51">Categorienormen!$C$13</definedName>
    <definedName name="catfd_1_OB_1">Categorienormen!$C$7</definedName>
    <definedName name="catfd_1_OV_42">Categorienormen!$C$18</definedName>
    <definedName name="catfd_1_OV_51">Categorienormen!$C$17</definedName>
    <definedName name="catfd_1_PAB_1">Categorienormen!$C$19</definedName>
    <definedName name="catfd_1_PAV_42">Categorienormen!$C$20</definedName>
    <definedName name="catfd_1_PBB_1">Categorienormen!$C$21</definedName>
    <definedName name="catfd_1_PBV_42">Categorienormen!$C$22</definedName>
    <definedName name="catfd_1_PCB_1">Categorienormen!$C$23</definedName>
    <definedName name="catfd_1_PCV_42">Categorienormen!$C$24</definedName>
    <definedName name="catfd_1_PDB_1">Categorienormen!$C$25</definedName>
    <definedName name="catfd_1_PDV_42">Categorienormen!$C$26</definedName>
    <definedName name="catfd_1_RB_1">Categorienormen!$C$37</definedName>
    <definedName name="catfd_1_RV_42">Categorienormen!$C$48</definedName>
    <definedName name="catfd_1_SB_1">Categorienormen!$C$28</definedName>
    <definedName name="catfd_1_SV_42">Categorienormen!$C$31</definedName>
    <definedName name="catfd_1_SV_48">Categorienormen!$C$30</definedName>
    <definedName name="catfd_1_TB_1">Categorienormen!$C$38</definedName>
    <definedName name="catfd_1_TV_42">Categorienormen!$C$49</definedName>
    <definedName name="catfd_1_TV_48">Categorienormen!$C$50</definedName>
    <definedName name="catfd_1_VB_1">Categorienormen!$C$39</definedName>
    <definedName name="catfd_1_VV_42">Categorienormen!$C$51</definedName>
    <definedName name="catfd_1_VV_48">Categorienormen!$C$52</definedName>
    <definedName name="catfd_1_VV_51">Categorienormen!$C$53</definedName>
    <definedName name="catpn_1_AB_1">Categorienormen!$E$32</definedName>
    <definedName name="catpn_1_AV_42">Categorienormen!$E$41</definedName>
    <definedName name="catpn_1_AV_48">Categorienormen!$E$40</definedName>
    <definedName name="catpn_1_BB_1">Categorienormen!$E$6</definedName>
    <definedName name="catpn_1_BV_42">Categorienormen!$E$14</definedName>
    <definedName name="catpn_1_BV_48">Categorienormen!$E$16</definedName>
    <definedName name="catpn_1_BV_51">Categorienormen!$E$15</definedName>
    <definedName name="catpn_1_DB_1">Categorienormen!$E$27</definedName>
    <definedName name="catpn_1_DV_42">Categorienormen!$E$29</definedName>
    <definedName name="catpn_1_EB_1">Categorienormen!$E$33</definedName>
    <definedName name="catpn_1_EV_42">Categorienormen!$E$42</definedName>
    <definedName name="catpn_1_EV_48">Categorienormen!$E$43</definedName>
    <definedName name="catpn_1_FB_1">Categorienormen!$E$34</definedName>
    <definedName name="catpn_1_FV_42">Categorienormen!$E$44</definedName>
    <definedName name="catpn_1_GB_1">Categorienormen!$E$35</definedName>
    <definedName name="catpn_1_GV_42">Categorienormen!$E$45</definedName>
    <definedName name="catpn_1_KB_1">Categorienormen!$E$36</definedName>
    <definedName name="catpn_1_KV_42">Categorienormen!$E$46</definedName>
    <definedName name="catpn_1_KV_51">Categorienormen!$E$47</definedName>
    <definedName name="catpn_1_LCB_1">Categorienormen!$E$8</definedName>
    <definedName name="catpn_1_LCV_42">Categorienormen!$E$9</definedName>
    <definedName name="catpn_1_LTB_1">Categorienormen!$E$10</definedName>
    <definedName name="catpn_1_LTV_42">Categorienormen!$E$12</definedName>
    <definedName name="catpn_1_LTV_48">Categorienormen!$E$11</definedName>
    <definedName name="catpn_1_LTV_51">Categorienormen!$E$13</definedName>
    <definedName name="catpn_1_OB_1">Categorienormen!$E$7</definedName>
    <definedName name="catpn_1_OV_42">Categorienormen!$E$18</definedName>
    <definedName name="catpn_1_OV_51">Categorienormen!$E$17</definedName>
    <definedName name="catpn_1_PAB_1">Categorienormen!$E$19</definedName>
    <definedName name="catpn_1_PAV_42">Categorienormen!$E$20</definedName>
    <definedName name="catpn_1_PBB_1">Categorienormen!$E$21</definedName>
    <definedName name="catpn_1_PBV_42">Categorienormen!$E$22</definedName>
    <definedName name="catpn_1_PCB_1">Categorienormen!$E$23</definedName>
    <definedName name="catpn_1_PCV_42">Categorienormen!$E$24</definedName>
    <definedName name="catpn_1_PDB_1">Categorienormen!$E$25</definedName>
    <definedName name="catpn_1_PDV_42">Categorienormen!$E$26</definedName>
    <definedName name="catpn_1_RB_1">Categorienormen!$E$37</definedName>
    <definedName name="catpn_1_RV_42">Categorienormen!$E$48</definedName>
    <definedName name="catpn_1_SB_1">Categorienormen!$E$28</definedName>
    <definedName name="catpn_1_SV_42">Categorienormen!$E$31</definedName>
    <definedName name="catpn_1_SV_48">Categorienormen!$E$30</definedName>
    <definedName name="catpn_1_TB_1">Categorienormen!$E$38</definedName>
    <definedName name="catpn_1_TV_42">Categorienormen!$E$49</definedName>
    <definedName name="catpn_1_TV_48">Categorienormen!$E$50</definedName>
    <definedName name="catpn_1_VB_1">Categorienormen!$E$39</definedName>
    <definedName name="catpn_1_VV_42">Categorienormen!$E$51</definedName>
    <definedName name="catpn_1_VV_48">Categorienormen!$E$52</definedName>
    <definedName name="catpn_1_VV_51">Categorienormen!$E$53</definedName>
    <definedName name="cattf_1_AB_1">Categorienormen!$H$32</definedName>
    <definedName name="cattf_1_AV_42">Categorienormen!$H$41</definedName>
    <definedName name="cattf_1_AV_48">Categorienormen!$H$40</definedName>
    <definedName name="cattf_1_BB_1">Categorienormen!$H$6</definedName>
    <definedName name="cattf_1_BV_42">Categorienormen!$H$14</definedName>
    <definedName name="cattf_1_BV_48">Categorienormen!$H$16</definedName>
    <definedName name="cattf_1_BV_51">Categorienormen!$H$15</definedName>
    <definedName name="cattf_1_DB_1">Categorienormen!$H$27</definedName>
    <definedName name="cattf_1_DV_42">Categorienormen!$H$29</definedName>
    <definedName name="cattf_1_EB_1">Categorienormen!$H$33</definedName>
    <definedName name="cattf_1_EV_42">Categorienormen!$H$42</definedName>
    <definedName name="cattf_1_EV_48">Categorienormen!$H$43</definedName>
    <definedName name="cattf_1_FB_1">Categorienormen!$H$34</definedName>
    <definedName name="cattf_1_FV_42">Categorienormen!$H$44</definedName>
    <definedName name="cattf_1_GB_1">Categorienormen!$H$35</definedName>
    <definedName name="cattf_1_GV_42">Categorienormen!$H$45</definedName>
    <definedName name="cattf_1_KB_1">Categorienormen!$H$36</definedName>
    <definedName name="cattf_1_KV_42">Categorienormen!$H$46</definedName>
    <definedName name="cattf_1_KV_51">Categorienormen!$H$47</definedName>
    <definedName name="cattf_1_LCB_1">Categorienormen!$H$8</definedName>
    <definedName name="cattf_1_LCV_42">Categorienormen!$H$9</definedName>
    <definedName name="cattf_1_LTB_1">Categorienormen!$H$10</definedName>
    <definedName name="cattf_1_LTV_42">Categorienormen!$H$12</definedName>
    <definedName name="cattf_1_LTV_48">Categorienormen!$H$11</definedName>
    <definedName name="cattf_1_LTV_51">Categorienormen!$H$13</definedName>
    <definedName name="cattf_1_OB_1">Categorienormen!$H$7</definedName>
    <definedName name="cattf_1_OV_42">Categorienormen!$H$18</definedName>
    <definedName name="cattf_1_OV_51">Categorienormen!$H$17</definedName>
    <definedName name="cattf_1_PAB_1">Categorienormen!$H$19</definedName>
    <definedName name="cattf_1_PAV_42">Categorienormen!$H$20</definedName>
    <definedName name="cattf_1_PBB_1">Categorienormen!$H$21</definedName>
    <definedName name="cattf_1_PBV_42">Categorienormen!$H$22</definedName>
    <definedName name="cattf_1_PCB_1">Categorienormen!$H$23</definedName>
    <definedName name="cattf_1_PCV_42">Categorienormen!$H$24</definedName>
    <definedName name="cattf_1_PDB_1">Categorienormen!$H$25</definedName>
    <definedName name="cattf_1_PDV_42">Categorienormen!$H$26</definedName>
    <definedName name="cattf_1_RB_1">Categorienormen!$H$37</definedName>
    <definedName name="cattf_1_RV_42">Categorienormen!$H$48</definedName>
    <definedName name="cattf_1_SB_1">Categorienormen!$H$28</definedName>
    <definedName name="cattf_1_SV_42">Categorienormen!$H$31</definedName>
    <definedName name="cattf_1_SV_48">Categorienormen!$H$30</definedName>
    <definedName name="cattf_1_TB_1">Categorienormen!$H$38</definedName>
    <definedName name="cattf_1_TV_42">Categorienormen!$H$49</definedName>
    <definedName name="cattf_1_TV_48">Categorienormen!$H$50</definedName>
    <definedName name="cattf_1_VB_1">Categorienormen!$H$39</definedName>
    <definedName name="cattf_1_VV_42">Categorienormen!$H$51</definedName>
    <definedName name="cattf_1_VV_48">Categorienormen!$H$52</definedName>
    <definedName name="cattf_1_VV_51">Categorienormen!$H$53</definedName>
    <definedName name="dagenperjaar1">Omreken!$B$9</definedName>
    <definedName name="dagenperweek1">Omreken!$B$10</definedName>
    <definedName name="dagsoorttabel1">Omreken!$A$13:$B$36</definedName>
    <definedName name="dagwerk10">'Regulier werk'!$H$51</definedName>
    <definedName name="dagwerk11">'Regulier werk'!$H$52</definedName>
    <definedName name="dagwerk12">'Regulier werk'!$H$53</definedName>
    <definedName name="dagwerk13">'Regulier werk'!$H$54</definedName>
    <definedName name="dagwerk14">'Regulier werk'!$H$55</definedName>
    <definedName name="dagwerk15">'Regulier werk'!$H$56</definedName>
    <definedName name="dagwerk16">'Regulier werk'!$H$57</definedName>
    <definedName name="dagwerk17">'Regulier werk'!$H$58</definedName>
    <definedName name="dagwerk19">'Regulier werk'!$H$59</definedName>
    <definedName name="dagwerk20">'Regulier werk'!$H$60</definedName>
    <definedName name="dagwerk21">'Regulier werk'!$H$61</definedName>
    <definedName name="dagwerk22">'Regulier werk'!$H$62</definedName>
    <definedName name="dagwerk23">'Regulier werk'!$H$6</definedName>
    <definedName name="dagwerk24">'Regulier werk'!$H$7</definedName>
    <definedName name="dagwerk25">'Regulier werk'!$H$8</definedName>
    <definedName name="dagwerk26">'Regulier werk'!$H$9</definedName>
    <definedName name="dagwerk27">'Regulier werk'!$H$10</definedName>
    <definedName name="dagwerk28">'Regulier werk'!$H$11</definedName>
    <definedName name="dagwerk29">'Regulier werk'!$H$12</definedName>
    <definedName name="dagwerk30">'Regulier werk'!$H$13</definedName>
    <definedName name="dagwerk31">'Regulier werk'!$H$14</definedName>
    <definedName name="dagwerk32">'Regulier werk'!$H$15</definedName>
    <definedName name="dagwerk33">'Regulier werk'!$H$16</definedName>
    <definedName name="dagwerk34">'Regulier werk'!$H$17</definedName>
    <definedName name="dagwerk35">'Regulier werk'!$H$18</definedName>
    <definedName name="dagwerk36">'Regulier werk'!$H$19</definedName>
    <definedName name="dagwerk37">'Regulier werk'!$H$20</definedName>
    <definedName name="dagwerk38">'Regulier werk'!$H$21</definedName>
    <definedName name="dagwerk39">'Regulier werk'!$H$22</definedName>
    <definedName name="dagwerk40">'Regulier werk'!$H$23</definedName>
    <definedName name="dagwerk41">'Regulier werk'!$H$24</definedName>
    <definedName name="dagwerk42">'Regulier werk'!$H$25</definedName>
    <definedName name="dagwerk43">'Regulier werk'!$H$26</definedName>
    <definedName name="dagwerk44">'Regulier werk'!$H$27</definedName>
    <definedName name="dagwerk45">'Regulier werk'!$H$28</definedName>
    <definedName name="dagwerk46">'Regulier werk'!$H$29</definedName>
    <definedName name="dagwerk47">'Regulier werk'!$H$30</definedName>
    <definedName name="dagwerk48">'Regulier werk'!$H$31</definedName>
    <definedName name="dagwerk49">'Regulier werk'!$H$32</definedName>
    <definedName name="dagwerk5">'Regulier werk'!$H$46</definedName>
    <definedName name="dagwerk50">'Regulier werk'!$H$33</definedName>
    <definedName name="dagwerk51">'Regulier werk'!$H$34</definedName>
    <definedName name="dagwerk52">'Regulier werk'!$H$35</definedName>
    <definedName name="dagwerk53">'Regulier werk'!$H$36</definedName>
    <definedName name="dagwerk54">'Regulier werk'!$H$37</definedName>
    <definedName name="dagwerk55">'Regulier werk'!$H$38</definedName>
    <definedName name="dagwerk56">'Regulier werk'!$H$39</definedName>
    <definedName name="dagwerk57">'Regulier werk'!$H$40</definedName>
    <definedName name="dagwerk58">'Regulier werk'!$H$41</definedName>
    <definedName name="dagwerk59">'Regulier werk'!$H$42</definedName>
    <definedName name="dagwerk6">'Regulier werk'!$H$47</definedName>
    <definedName name="dagwerk60">'Regulier werk'!$H$43</definedName>
    <definedName name="dagwerk61">'Regulier werk'!$H$44</definedName>
    <definedName name="dagwerk62">'Regulier werk'!$H$45</definedName>
    <definedName name="dagwerk7">'Regulier werk'!$H$48</definedName>
    <definedName name="dagwerk8">'Regulier werk'!$H$49</definedName>
    <definedName name="dagwerk9">'Regulier werk'!$H$50</definedName>
    <definedName name="dagwerktabel1">Objectinformatie!$H$5:$H$61</definedName>
    <definedName name="gemuurtarief1">'Regulier werk'!$J$65</definedName>
    <definedName name="kengetaltabel1">Objectinformatie!$G$5:$G$61</definedName>
    <definedName name="object1_opptabel1">Objectinformatie!$J$5:$J$61</definedName>
    <definedName name="object10_opptabel1">Objectinformatie!$S$5:$S$61</definedName>
    <definedName name="object11_opptabel1">Objectinformatie!$T$5:$T$61</definedName>
    <definedName name="object12_opptabel1">Objectinformatie!$U$5:$U$61</definedName>
    <definedName name="object13_opptabel1">Objectinformatie!$V$5:$V$61</definedName>
    <definedName name="object14_opptabel1">Objectinformatie!$W$5:$W$61</definedName>
    <definedName name="object15_opptabel1">Objectinformatie!$X$5:$X$61</definedName>
    <definedName name="object16_opptabel1">Objectinformatie!$Y$5:$Y$61</definedName>
    <definedName name="object17_opptabel1">Objectinformatie!$Z$5:$Z$61</definedName>
    <definedName name="object18_opptabel1">Objectinformatie!$AA$5:$AA$61</definedName>
    <definedName name="object19_opptabel1">Objectinformatie!$AB$5:$AB$61</definedName>
    <definedName name="object2_opptabel1">Objectinformatie!$K$5:$K$61</definedName>
    <definedName name="object20_opptabel1">Objectinformatie!$AC$5:$AC$61</definedName>
    <definedName name="object21_opptabel1">Objectinformatie!$AD$5:$AD$61</definedName>
    <definedName name="object3_opptabel1">Objectinformatie!$L$5:$L$61</definedName>
    <definedName name="object4_opptabel1">Objectinformatie!$M$5:$M$61</definedName>
    <definedName name="object5_opptabel1">Objectinformatie!$N$5:$N$61</definedName>
    <definedName name="object6_opptabel1">Objectinformatie!$O$5:$O$61</definedName>
    <definedName name="object7_opptabel1">Objectinformatie!$P$5:$P$61</definedName>
    <definedName name="object8_opptabel1">Objectinformatie!$Q$5:$Q$61</definedName>
    <definedName name="object9_opptabel1">Objectinformatie!$R$5:$R$61</definedName>
    <definedName name="objectprijs1_1">Objecten!$Q$6</definedName>
    <definedName name="objectprijs10_1">Objecten!$Q$15</definedName>
    <definedName name="objectprijs11_1">Objecten!$Q$16</definedName>
    <definedName name="objectprijs12_1">Objecten!$Q$17</definedName>
    <definedName name="objectprijs13_1">Objecten!$Q$18</definedName>
    <definedName name="objectprijs14_1">Objecten!$Q$19</definedName>
    <definedName name="objectprijs15_1">Objecten!$Q$20</definedName>
    <definedName name="objectprijs16_1">Objecten!$Q$21</definedName>
    <definedName name="objectprijs17_1">Objecten!$Q$22</definedName>
    <definedName name="objectprijs18_1">Objecten!$Q$23</definedName>
    <definedName name="objectprijs19_1">Objecten!$Q$24</definedName>
    <definedName name="objectprijs2_1">Objecten!$Q$7</definedName>
    <definedName name="objectprijs20_1">Objecten!$Q$25</definedName>
    <definedName name="objectprijs21_1">Objecten!$Q$26</definedName>
    <definedName name="objectprijs3_1">Objecten!$Q$8</definedName>
    <definedName name="objectprijs4_1">Objecten!$Q$9</definedName>
    <definedName name="objectprijs5_1">Objecten!$Q$10</definedName>
    <definedName name="objectprijs6_1">Objecten!$Q$11</definedName>
    <definedName name="objectprijs7_1">Objecten!$Q$12</definedName>
    <definedName name="objectprijs8_1">Objecten!$Q$13</definedName>
    <definedName name="objectprijs9_1">Objecten!$Q$14</definedName>
    <definedName name="objecturen1_1">Objecten!$P$6</definedName>
    <definedName name="objecturen10_1">Objecten!$P$15</definedName>
    <definedName name="objecturen11_1">Objecten!$P$16</definedName>
    <definedName name="objecturen12_1">Objecten!$P$17</definedName>
    <definedName name="objecturen13_1">Objecten!$P$18</definedName>
    <definedName name="objecturen14_1">Objecten!$P$19</definedName>
    <definedName name="objecturen15_1">Objecten!$P$20</definedName>
    <definedName name="objecturen16_1">Objecten!$P$21</definedName>
    <definedName name="objecturen17_1">Objecten!$P$22</definedName>
    <definedName name="objecturen18_1">Objecten!$P$23</definedName>
    <definedName name="objecturen19_1">Objecten!$P$24</definedName>
    <definedName name="objecturen2_1">Objecten!$P$7</definedName>
    <definedName name="objecturen20_1">Objecten!$P$25</definedName>
    <definedName name="objecturen21_1">Objecten!$P$26</definedName>
    <definedName name="objecturen3_1">Objecten!$P$8</definedName>
    <definedName name="objecturen4_1">Objecten!$P$9</definedName>
    <definedName name="objecturen5_1">Objecten!$P$10</definedName>
    <definedName name="objecturen6_1">Objecten!$P$11</definedName>
    <definedName name="objecturen7_1">Objecten!$P$12</definedName>
    <definedName name="objecturen8_1">Objecten!$P$13</definedName>
    <definedName name="objecturen9_1">Objecten!$P$14</definedName>
    <definedName name="objecturenhf1_1">Objecten!$O$6</definedName>
    <definedName name="objecturenhf10_1">Objecten!$O$15</definedName>
    <definedName name="objecturenhf11_1">Objecten!$O$16</definedName>
    <definedName name="objecturenhf12_1">Objecten!$O$17</definedName>
    <definedName name="objecturenhf13_1">Objecten!$O$18</definedName>
    <definedName name="objecturenhf14_1">Objecten!$O$19</definedName>
    <definedName name="objecturenhf15_1">Objecten!$O$20</definedName>
    <definedName name="objecturenhf16_1">Objecten!$O$21</definedName>
    <definedName name="objecturenhf17_1">Objecten!$O$22</definedName>
    <definedName name="objecturenhf18_1">Objecten!$O$23</definedName>
    <definedName name="objecturenhf19_1">Objecten!$O$24</definedName>
    <definedName name="objecturenhf2_1">Objecten!$O$7</definedName>
    <definedName name="objecturenhf20_1">Objecten!$O$25</definedName>
    <definedName name="objecturenhf21_1">Objecten!$O$26</definedName>
    <definedName name="objecturenhf3_1">Objecten!$O$8</definedName>
    <definedName name="objecturenhf4_1">Objecten!$O$9</definedName>
    <definedName name="objecturenhf5_1">Objecten!$O$10</definedName>
    <definedName name="objecturenhf6_1">Objecten!$O$11</definedName>
    <definedName name="objecturenhf7_1">Objecten!$O$12</definedName>
    <definedName name="objecturenhf8_1">Objecten!$O$13</definedName>
    <definedName name="objecturenhf9_1">Objecten!$O$14</definedName>
    <definedName name="prijsdag1">'Regulier werk'!$L$63</definedName>
    <definedName name="prijsjaar">'Regulier werk'!$N$68</definedName>
    <definedName name="prijsjaar1">'Regulier werk'!$N$63</definedName>
    <definedName name="prijsjaarafroep">Afroep!$K$19</definedName>
    <definedName name="prijsjaarafroep1">Afroep!$K$17</definedName>
    <definedName name="prijsjaarnietmeewerkend">'Niet-meewerkende objectleiding'!$J$198</definedName>
    <definedName name="prijsjaartotaal">Objecten!$Q$30</definedName>
    <definedName name="prijsjaartotaal1">Objecten!$Q$27</definedName>
    <definedName name="prijsjaartotaaloverzicht">'Totaalblad Objecten'!$G$26</definedName>
    <definedName name="prijsmaandtotaal1">Objecten!$R$27</definedName>
    <definedName name="prodnorm10">'Regulier werk'!$G$51</definedName>
    <definedName name="prodnorm11">'Regulier werk'!$G$52</definedName>
    <definedName name="prodnorm12">'Regulier werk'!$G$53</definedName>
    <definedName name="prodnorm13">'Regulier werk'!$G$54</definedName>
    <definedName name="prodnorm14">'Regulier werk'!$G$55</definedName>
    <definedName name="prodnorm15">'Regulier werk'!$G$56</definedName>
    <definedName name="prodnorm16">'Regulier werk'!$G$57</definedName>
    <definedName name="prodnorm17">'Regulier werk'!$G$58</definedName>
    <definedName name="prodnorm19">'Regulier werk'!$G$59</definedName>
    <definedName name="prodnorm20">'Regulier werk'!$G$60</definedName>
    <definedName name="prodnorm21">'Regulier werk'!$G$61</definedName>
    <definedName name="prodnorm22">'Regulier werk'!$G$62</definedName>
    <definedName name="prodnorm23">'Regulier werk'!$G$6</definedName>
    <definedName name="prodnorm24">'Regulier werk'!$G$7</definedName>
    <definedName name="prodnorm25">'Regulier werk'!$G$8</definedName>
    <definedName name="prodnorm26">'Regulier werk'!$G$9</definedName>
    <definedName name="prodnorm27">'Regulier werk'!$G$10</definedName>
    <definedName name="prodnorm28">'Regulier werk'!$G$11</definedName>
    <definedName name="prodnorm29">'Regulier werk'!$G$12</definedName>
    <definedName name="prodnorm30">'Regulier werk'!$G$13</definedName>
    <definedName name="prodnorm31">'Regulier werk'!$G$14</definedName>
    <definedName name="prodnorm32">'Regulier werk'!$G$15</definedName>
    <definedName name="prodnorm33">'Regulier werk'!$G$16</definedName>
    <definedName name="prodnorm34">'Regulier werk'!$G$17</definedName>
    <definedName name="prodnorm35">'Regulier werk'!$G$18</definedName>
    <definedName name="prodnorm36">'Regulier werk'!$G$19</definedName>
    <definedName name="prodnorm37">'Regulier werk'!$G$20</definedName>
    <definedName name="prodnorm38">'Regulier werk'!$G$21</definedName>
    <definedName name="prodnorm39">'Regulier werk'!$G$22</definedName>
    <definedName name="prodnorm40">'Regulier werk'!$G$23</definedName>
    <definedName name="prodnorm41">'Regulier werk'!$G$24</definedName>
    <definedName name="prodnorm42">'Regulier werk'!$G$25</definedName>
    <definedName name="prodnorm43">'Regulier werk'!$G$26</definedName>
    <definedName name="prodnorm44">'Regulier werk'!$G$27</definedName>
    <definedName name="prodnorm45">'Regulier werk'!$G$28</definedName>
    <definedName name="prodnorm46">'Regulier werk'!$G$29</definedName>
    <definedName name="prodnorm47">'Regulier werk'!$G$30</definedName>
    <definedName name="prodnorm48">'Regulier werk'!$G$31</definedName>
    <definedName name="prodnorm49">'Regulier werk'!$G$32</definedName>
    <definedName name="prodnorm5">'Regulier werk'!$G$46</definedName>
    <definedName name="prodnorm50">'Regulier werk'!$G$33</definedName>
    <definedName name="prodnorm51">'Regulier werk'!$G$34</definedName>
    <definedName name="prodnorm52">'Regulier werk'!$G$35</definedName>
    <definedName name="prodnorm53">'Regulier werk'!$G$36</definedName>
    <definedName name="prodnorm54">'Regulier werk'!$G$37</definedName>
    <definedName name="prodnorm55">'Regulier werk'!$G$38</definedName>
    <definedName name="prodnorm56">'Regulier werk'!$G$39</definedName>
    <definedName name="prodnorm57">'Regulier werk'!$G$40</definedName>
    <definedName name="prodnorm58">'Regulier werk'!$G$41</definedName>
    <definedName name="prodnorm59">'Regulier werk'!$G$42</definedName>
    <definedName name="prodnorm6">'Regulier werk'!$G$47</definedName>
    <definedName name="prodnorm60">'Regulier werk'!$G$43</definedName>
    <definedName name="prodnorm61">'Regulier werk'!$G$44</definedName>
    <definedName name="prodnorm62">'Regulier werk'!$G$45</definedName>
    <definedName name="prodnorm7">'Regulier werk'!$G$48</definedName>
    <definedName name="prodnorm8">'Regulier werk'!$G$49</definedName>
    <definedName name="prodnorm9">'Regulier werk'!$G$50</definedName>
    <definedName name="taakfreqtabel1">Objectinformatie!$E$5:$E$61</definedName>
    <definedName name="tabeltype">Omreken!$B$5:$B$5</definedName>
    <definedName name="tarieftabel1">Objectinformatie!$I$5:$I$61</definedName>
    <definedName name="tzpjt1">'Niet-meewerkende objectleiding'!$J$195</definedName>
    <definedName name="tzpjt1_1">'Niet-meewerkende objectleiding'!$J$13</definedName>
    <definedName name="tzpjt10_1">'Niet-meewerkende objectleiding'!$J$94</definedName>
    <definedName name="tzpjt11_1">'Niet-meewerkende objectleiding'!$J$103</definedName>
    <definedName name="tzpjt12_1">'Niet-meewerkende objectleiding'!$J$112</definedName>
    <definedName name="tzpjt13_1">'Niet-meewerkende objectleiding'!$J$121</definedName>
    <definedName name="tzpjt14_1">'Niet-meewerkende objectleiding'!$J$130</definedName>
    <definedName name="tzpjt15_1">'Niet-meewerkende objectleiding'!$J$139</definedName>
    <definedName name="tzpjt16_1">'Niet-meewerkende objectleiding'!$J$148</definedName>
    <definedName name="tzpjt17_1">'Niet-meewerkende objectleiding'!$J$157</definedName>
    <definedName name="tzpjt18_1">'Niet-meewerkende objectleiding'!$J$166</definedName>
    <definedName name="tzpjt19_1">'Niet-meewerkende objectleiding'!$J$175</definedName>
    <definedName name="tzpjt2_1">'Niet-meewerkende objectleiding'!$J$22</definedName>
    <definedName name="tzpjt20_1">'Niet-meewerkende objectleiding'!$J$184</definedName>
    <definedName name="tzpjt21_1">'Niet-meewerkende objectleiding'!$J$193</definedName>
    <definedName name="tzpjt3_1">'Niet-meewerkende objectleiding'!$J$31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7_1">'Niet-meewerkende objectleiding'!$J$67</definedName>
    <definedName name="tzpjt8_1">'Niet-meewerkende objectleiding'!$J$76</definedName>
    <definedName name="tzpjt9_1">'Niet-meewerkende objectleiding'!$J$85</definedName>
    <definedName name="tzpmt1">'Niet-meewerkende objectleiding'!$K$195</definedName>
    <definedName name="tzpmt1_1">'Niet-meewerkende objectleiding'!$K$13</definedName>
    <definedName name="tzpmt10_1">'Niet-meewerkende objectleiding'!$K$94</definedName>
    <definedName name="tzpmt11_1">'Niet-meewerkende objectleiding'!$K$103</definedName>
    <definedName name="tzpmt12_1">'Niet-meewerkende objectleiding'!$K$112</definedName>
    <definedName name="tzpmt13_1">'Niet-meewerkende objectleiding'!$K$121</definedName>
    <definedName name="tzpmt14_1">'Niet-meewerkende objectleiding'!$K$130</definedName>
    <definedName name="tzpmt15_1">'Niet-meewerkende objectleiding'!$K$139</definedName>
    <definedName name="tzpmt16_1">'Niet-meewerkende objectleiding'!$K$148</definedName>
    <definedName name="tzpmt17_1">'Niet-meewerkende objectleiding'!$K$157</definedName>
    <definedName name="tzpmt18_1">'Niet-meewerkende objectleiding'!$K$166</definedName>
    <definedName name="tzpmt19_1">'Niet-meewerkende objectleiding'!$K$175</definedName>
    <definedName name="tzpmt2_1">'Niet-meewerkende objectleiding'!$K$22</definedName>
    <definedName name="tzpmt20_1">'Niet-meewerkende objectleiding'!$K$184</definedName>
    <definedName name="tzpmt21_1">'Niet-meewerkende objectleiding'!$K$193</definedName>
    <definedName name="tzpmt3_1">'Niet-meewerkende objectleiding'!$K$31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7_1">'Niet-meewerkende objectleiding'!$K$67</definedName>
    <definedName name="tzpmt8_1">'Niet-meewerkende objectleiding'!$K$76</definedName>
    <definedName name="tzpmt9_1">'Niet-meewerkende objectleiding'!$K$85</definedName>
    <definedName name="tzujt1">'Niet-meewerkende objectleiding'!$H$195</definedName>
    <definedName name="tzujt1_1">'Niet-meewerkende objectleiding'!$H$13</definedName>
    <definedName name="tzujt10_1">'Niet-meewerkende objectleiding'!$H$94</definedName>
    <definedName name="tzujt11_1">'Niet-meewerkende objectleiding'!$H$103</definedName>
    <definedName name="tzujt12_1">'Niet-meewerkende objectleiding'!$H$112</definedName>
    <definedName name="tzujt13_1">'Niet-meewerkende objectleiding'!$H$121</definedName>
    <definedName name="tzujt14_1">'Niet-meewerkende objectleiding'!$H$130</definedName>
    <definedName name="tzujt15_1">'Niet-meewerkende objectleiding'!$H$139</definedName>
    <definedName name="tzujt16_1">'Niet-meewerkende objectleiding'!$H$148</definedName>
    <definedName name="tzujt17_1">'Niet-meewerkende objectleiding'!$H$157</definedName>
    <definedName name="tzujt18_1">'Niet-meewerkende objectleiding'!$H$166</definedName>
    <definedName name="tzujt19_1">'Niet-meewerkende objectleiding'!$H$175</definedName>
    <definedName name="tzujt2_1">'Niet-meewerkende objectleiding'!$H$22</definedName>
    <definedName name="tzujt20_1">'Niet-meewerkende objectleiding'!$H$184</definedName>
    <definedName name="tzujt21_1">'Niet-meewerkende objectleiding'!$H$193</definedName>
    <definedName name="tzujt3_1">'Niet-meewerkende objectleiding'!$H$31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7_1">'Niet-meewerkende objectleiding'!$H$67</definedName>
    <definedName name="tzujt8_1">'Niet-meewerkende objectleiding'!$H$76</definedName>
    <definedName name="tzujt9_1">'Niet-meewerkende objectleiding'!$H$85</definedName>
    <definedName name="urendag1">'Regulier werk'!$K$63</definedName>
    <definedName name="urenjaar">'Regulier werk'!$M$68</definedName>
    <definedName name="urenjaar1">'Regulier werk'!$M$63</definedName>
    <definedName name="urenjaarnietmeewerkend">'Niet-meewerkende objectleiding'!$H$198</definedName>
    <definedName name="urenjaartotaal">Objecten!$P$30</definedName>
    <definedName name="urenjaartotaal1">Objecten!$P$27</definedName>
    <definedName name="urenjaartotaalhf">Objecten!$O$30</definedName>
    <definedName name="urenjaartotaalhf1">Objecten!$O$27</definedName>
    <definedName name="urenjaartotaaloverzicht">'Totaalblad Objecten'!$F$26</definedName>
    <definedName name="urenjaartotaaloverzichthf">'Totaalblad Objecten'!$E$26</definedName>
    <definedName name="uurfactortabel1">Objectinformatie!$F$5:$F$61</definedName>
    <definedName name="uurtarief10">'Regulier werk'!$J$51</definedName>
    <definedName name="uurtarief11">'Regulier werk'!$J$52</definedName>
    <definedName name="uurtarief12">'Regulier werk'!$J$53</definedName>
    <definedName name="uurtarief13">'Regulier werk'!$J$54</definedName>
    <definedName name="uurtarief14">'Regulier werk'!$J$55</definedName>
    <definedName name="uurtarief15">'Regulier werk'!$J$56</definedName>
    <definedName name="uurtarief16">'Regulier werk'!$J$57</definedName>
    <definedName name="uurtarief17">'Regulier werk'!$J$58</definedName>
    <definedName name="uurtarief19">'Regulier werk'!$J$59</definedName>
    <definedName name="uurtarief20">'Regulier werk'!$J$60</definedName>
    <definedName name="uurtarief21">'Regulier werk'!$J$61</definedName>
    <definedName name="uurtarief22">'Regulier werk'!$J$62</definedName>
    <definedName name="uurtarief23">'Regulier werk'!$J$6</definedName>
    <definedName name="uurtarief24">'Regulier werk'!$J$7</definedName>
    <definedName name="uurtarief25">'Regulier werk'!$J$8</definedName>
    <definedName name="uurtarief26">'Regulier werk'!$J$9</definedName>
    <definedName name="uurtarief27">'Regulier werk'!$J$10</definedName>
    <definedName name="uurtarief28">'Regulier werk'!$J$11</definedName>
    <definedName name="uurtarief29">'Regulier werk'!$J$12</definedName>
    <definedName name="uurtarief30">'Regulier werk'!$J$13</definedName>
    <definedName name="uurtarief31">'Regulier werk'!$J$14</definedName>
    <definedName name="uurtarief32">'Regulier werk'!$J$15</definedName>
    <definedName name="uurtarief33">'Regulier werk'!$J$16</definedName>
    <definedName name="uurtarief34">'Regulier werk'!$J$17</definedName>
    <definedName name="uurtarief35">'Regulier werk'!$J$18</definedName>
    <definedName name="uurtarief36">'Regulier werk'!$J$19</definedName>
    <definedName name="uurtarief37">'Regulier werk'!$J$20</definedName>
    <definedName name="uurtarief38">'Regulier werk'!$J$21</definedName>
    <definedName name="uurtarief39">'Regulier werk'!$J$22</definedName>
    <definedName name="uurtarief40">'Regulier werk'!$J$23</definedName>
    <definedName name="uurtarief41">'Regulier werk'!$J$24</definedName>
    <definedName name="uurtarief42">'Regulier werk'!$J$25</definedName>
    <definedName name="uurtarief43">'Regulier werk'!$J$26</definedName>
    <definedName name="uurtarief44">'Regulier werk'!$J$27</definedName>
    <definedName name="uurtarief45">'Regulier werk'!$J$28</definedName>
    <definedName name="uurtarief46">'Regulier werk'!$J$29</definedName>
    <definedName name="uurtarief47">'Regulier werk'!$J$30</definedName>
    <definedName name="uurtarief48">'Regulier werk'!$J$31</definedName>
    <definedName name="uurtarief49">'Regulier werk'!$J$32</definedName>
    <definedName name="uurtarief5">'Regulier werk'!$J$46</definedName>
    <definedName name="uurtarief50">'Regulier werk'!$J$33</definedName>
    <definedName name="uurtarief51">'Regulier werk'!$J$34</definedName>
    <definedName name="uurtarief52">'Regulier werk'!$J$35</definedName>
    <definedName name="uurtarief53">'Regulier werk'!$J$36</definedName>
    <definedName name="uurtarief54">'Regulier werk'!$J$37</definedName>
    <definedName name="uurtarief55">'Regulier werk'!$J$38</definedName>
    <definedName name="uurtarief56">'Regulier werk'!$J$39</definedName>
    <definedName name="uurtarief57">'Regulier werk'!$J$40</definedName>
    <definedName name="uurtarief58">'Regulier werk'!$J$41</definedName>
    <definedName name="uurtarief59">'Regulier werk'!$J$42</definedName>
    <definedName name="uurtarief6">'Regulier werk'!$J$47</definedName>
    <definedName name="uurtarief60">'Regulier werk'!$J$43</definedName>
    <definedName name="uurtarief61">'Regulier werk'!$J$44</definedName>
    <definedName name="uurtarief62">'Regulier werk'!$J$45</definedName>
    <definedName name="uurtarief7">'Regulier werk'!$J$48</definedName>
    <definedName name="uurtarief8">'Regulier werk'!$J$49</definedName>
    <definedName name="uurtarief9">'Regulier werk'!$J$50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0" l="1"/>
  <c r="A1" i="9"/>
  <c r="J16" i="8"/>
  <c r="J15" i="8"/>
  <c r="J14" i="8"/>
  <c r="J13" i="8"/>
  <c r="J12" i="8"/>
  <c r="J11" i="8"/>
  <c r="J10" i="8"/>
  <c r="J9" i="8"/>
  <c r="J8" i="8"/>
  <c r="J7" i="8"/>
  <c r="J6" i="8"/>
  <c r="A1" i="8"/>
  <c r="A1" i="7"/>
  <c r="J193" i="6"/>
  <c r="I24" i="7" s="1"/>
  <c r="J192" i="6"/>
  <c r="K192" i="6" s="1"/>
  <c r="I192" i="6"/>
  <c r="H192" i="6"/>
  <c r="C192" i="6"/>
  <c r="J191" i="6"/>
  <c r="K191" i="6" s="1"/>
  <c r="I191" i="6"/>
  <c r="H191" i="6"/>
  <c r="C191" i="6"/>
  <c r="K190" i="6"/>
  <c r="J190" i="6"/>
  <c r="H190" i="6"/>
  <c r="C190" i="6"/>
  <c r="I190" i="6" s="1"/>
  <c r="K189" i="6"/>
  <c r="J189" i="6"/>
  <c r="I189" i="6"/>
  <c r="H189" i="6"/>
  <c r="H193" i="6" s="1"/>
  <c r="H24" i="7" s="1"/>
  <c r="C189" i="6"/>
  <c r="K188" i="6"/>
  <c r="J188" i="6"/>
  <c r="H188" i="6"/>
  <c r="H184" i="6"/>
  <c r="H23" i="7" s="1"/>
  <c r="J183" i="6"/>
  <c r="K183" i="6" s="1"/>
  <c r="I183" i="6"/>
  <c r="H183" i="6"/>
  <c r="C183" i="6"/>
  <c r="J182" i="6"/>
  <c r="K182" i="6" s="1"/>
  <c r="H182" i="6"/>
  <c r="C182" i="6"/>
  <c r="I182" i="6" s="1"/>
  <c r="K181" i="6"/>
  <c r="J181" i="6"/>
  <c r="H181" i="6"/>
  <c r="C181" i="6"/>
  <c r="I181" i="6" s="1"/>
  <c r="K180" i="6"/>
  <c r="J180" i="6"/>
  <c r="H180" i="6"/>
  <c r="C180" i="6"/>
  <c r="I180" i="6" s="1"/>
  <c r="J179" i="6"/>
  <c r="K179" i="6" s="1"/>
  <c r="K184" i="6" s="1"/>
  <c r="H179" i="6"/>
  <c r="K174" i="6"/>
  <c r="J174" i="6"/>
  <c r="H174" i="6"/>
  <c r="I174" i="6" s="1"/>
  <c r="C174" i="6"/>
  <c r="J173" i="6"/>
  <c r="J175" i="6" s="1"/>
  <c r="I22" i="7" s="1"/>
  <c r="H173" i="6"/>
  <c r="C173" i="6"/>
  <c r="I173" i="6" s="1"/>
  <c r="K172" i="6"/>
  <c r="J172" i="6"/>
  <c r="H172" i="6"/>
  <c r="C172" i="6"/>
  <c r="I172" i="6" s="1"/>
  <c r="K171" i="6"/>
  <c r="J171" i="6"/>
  <c r="H171" i="6"/>
  <c r="H175" i="6" s="1"/>
  <c r="H22" i="7" s="1"/>
  <c r="C171" i="6"/>
  <c r="I171" i="6" s="1"/>
  <c r="J170" i="6"/>
  <c r="K170" i="6" s="1"/>
  <c r="H170" i="6"/>
  <c r="K165" i="6"/>
  <c r="J165" i="6"/>
  <c r="H165" i="6"/>
  <c r="C165" i="6"/>
  <c r="I165" i="6" s="1"/>
  <c r="J164" i="6"/>
  <c r="J166" i="6" s="1"/>
  <c r="I21" i="7" s="1"/>
  <c r="I164" i="6"/>
  <c r="H164" i="6"/>
  <c r="C164" i="6"/>
  <c r="K163" i="6"/>
  <c r="J163" i="6"/>
  <c r="H163" i="6"/>
  <c r="C163" i="6"/>
  <c r="I163" i="6" s="1"/>
  <c r="K162" i="6"/>
  <c r="J162" i="6"/>
  <c r="H162" i="6"/>
  <c r="I162" i="6" s="1"/>
  <c r="C162" i="6"/>
  <c r="J161" i="6"/>
  <c r="K161" i="6" s="1"/>
  <c r="H161" i="6"/>
  <c r="J156" i="6"/>
  <c r="K156" i="6" s="1"/>
  <c r="I156" i="6"/>
  <c r="H156" i="6"/>
  <c r="C156" i="6"/>
  <c r="J155" i="6"/>
  <c r="K155" i="6" s="1"/>
  <c r="H155" i="6"/>
  <c r="C155" i="6"/>
  <c r="I155" i="6" s="1"/>
  <c r="J154" i="6"/>
  <c r="J157" i="6" s="1"/>
  <c r="I20" i="7" s="1"/>
  <c r="H154" i="6"/>
  <c r="C154" i="6"/>
  <c r="I154" i="6" s="1"/>
  <c r="K153" i="6"/>
  <c r="J153" i="6"/>
  <c r="H153" i="6"/>
  <c r="I153" i="6" s="1"/>
  <c r="C153" i="6"/>
  <c r="J152" i="6"/>
  <c r="K152" i="6" s="1"/>
  <c r="H152" i="6"/>
  <c r="H157" i="6" s="1"/>
  <c r="H20" i="7" s="1"/>
  <c r="K147" i="6"/>
  <c r="J147" i="6"/>
  <c r="I147" i="6"/>
  <c r="H147" i="6"/>
  <c r="C147" i="6"/>
  <c r="K146" i="6"/>
  <c r="J146" i="6"/>
  <c r="J148" i="6" s="1"/>
  <c r="I19" i="7" s="1"/>
  <c r="H146" i="6"/>
  <c r="I146" i="6" s="1"/>
  <c r="C146" i="6"/>
  <c r="K145" i="6"/>
  <c r="J145" i="6"/>
  <c r="I145" i="6"/>
  <c r="H145" i="6"/>
  <c r="C145" i="6"/>
  <c r="K144" i="6"/>
  <c r="J144" i="6"/>
  <c r="H144" i="6"/>
  <c r="H148" i="6" s="1"/>
  <c r="H19" i="7" s="1"/>
  <c r="C144" i="6"/>
  <c r="I144" i="6" s="1"/>
  <c r="J143" i="6"/>
  <c r="K143" i="6" s="1"/>
  <c r="K148" i="6" s="1"/>
  <c r="H143" i="6"/>
  <c r="K138" i="6"/>
  <c r="J138" i="6"/>
  <c r="I138" i="6"/>
  <c r="H138" i="6"/>
  <c r="C138" i="6"/>
  <c r="J137" i="6"/>
  <c r="K137" i="6" s="1"/>
  <c r="H137" i="6"/>
  <c r="C137" i="6"/>
  <c r="I137" i="6" s="1"/>
  <c r="K136" i="6"/>
  <c r="J136" i="6"/>
  <c r="I136" i="6"/>
  <c r="H136" i="6"/>
  <c r="C136" i="6"/>
  <c r="J135" i="6"/>
  <c r="J139" i="6" s="1"/>
  <c r="I18" i="7" s="1"/>
  <c r="H135" i="6"/>
  <c r="C135" i="6"/>
  <c r="I135" i="6" s="1"/>
  <c r="J134" i="6"/>
  <c r="K134" i="6" s="1"/>
  <c r="H134" i="6"/>
  <c r="H139" i="6" s="1"/>
  <c r="H18" i="7" s="1"/>
  <c r="K129" i="6"/>
  <c r="J129" i="6"/>
  <c r="I129" i="6"/>
  <c r="H129" i="6"/>
  <c r="C129" i="6"/>
  <c r="J128" i="6"/>
  <c r="K128" i="6" s="1"/>
  <c r="H128" i="6"/>
  <c r="I128" i="6" s="1"/>
  <c r="C128" i="6"/>
  <c r="K127" i="6"/>
  <c r="J127" i="6"/>
  <c r="H127" i="6"/>
  <c r="C127" i="6"/>
  <c r="I127" i="6" s="1"/>
  <c r="J126" i="6"/>
  <c r="J130" i="6" s="1"/>
  <c r="I17" i="7" s="1"/>
  <c r="H126" i="6"/>
  <c r="C126" i="6"/>
  <c r="I126" i="6" s="1"/>
  <c r="K125" i="6"/>
  <c r="J125" i="6"/>
  <c r="H125" i="6"/>
  <c r="H130" i="6" s="1"/>
  <c r="H17" i="7" s="1"/>
  <c r="J121" i="6"/>
  <c r="I16" i="7" s="1"/>
  <c r="K120" i="6"/>
  <c r="J120" i="6"/>
  <c r="I120" i="6"/>
  <c r="H120" i="6"/>
  <c r="C120" i="6"/>
  <c r="J119" i="6"/>
  <c r="K119" i="6" s="1"/>
  <c r="H119" i="6"/>
  <c r="I119" i="6" s="1"/>
  <c r="C119" i="6"/>
  <c r="K118" i="6"/>
  <c r="J118" i="6"/>
  <c r="H118" i="6"/>
  <c r="C118" i="6"/>
  <c r="I118" i="6" s="1"/>
  <c r="J117" i="6"/>
  <c r="K117" i="6" s="1"/>
  <c r="I117" i="6"/>
  <c r="H117" i="6"/>
  <c r="H121" i="6" s="1"/>
  <c r="H16" i="7" s="1"/>
  <c r="C117" i="6"/>
  <c r="K116" i="6"/>
  <c r="K121" i="6" s="1"/>
  <c r="J116" i="6"/>
  <c r="H116" i="6"/>
  <c r="C116" i="6"/>
  <c r="I116" i="6" s="1"/>
  <c r="H112" i="6"/>
  <c r="H15" i="7" s="1"/>
  <c r="K111" i="6"/>
  <c r="J111" i="6"/>
  <c r="I111" i="6"/>
  <c r="H111" i="6"/>
  <c r="C111" i="6"/>
  <c r="J110" i="6"/>
  <c r="K110" i="6" s="1"/>
  <c r="H110" i="6"/>
  <c r="C110" i="6"/>
  <c r="I110" i="6" s="1"/>
  <c r="K109" i="6"/>
  <c r="J109" i="6"/>
  <c r="H109" i="6"/>
  <c r="C109" i="6"/>
  <c r="I109" i="6" s="1"/>
  <c r="J108" i="6"/>
  <c r="K108" i="6" s="1"/>
  <c r="H108" i="6"/>
  <c r="C108" i="6"/>
  <c r="I108" i="6" s="1"/>
  <c r="J107" i="6"/>
  <c r="K107" i="6" s="1"/>
  <c r="H107" i="6"/>
  <c r="K102" i="6"/>
  <c r="J102" i="6"/>
  <c r="H102" i="6"/>
  <c r="I102" i="6" s="1"/>
  <c r="C102" i="6"/>
  <c r="J101" i="6"/>
  <c r="J103" i="6" s="1"/>
  <c r="I14" i="7" s="1"/>
  <c r="H101" i="6"/>
  <c r="C101" i="6"/>
  <c r="I101" i="6" s="1"/>
  <c r="K100" i="6"/>
  <c r="J100" i="6"/>
  <c r="H100" i="6"/>
  <c r="C100" i="6"/>
  <c r="I100" i="6" s="1"/>
  <c r="J99" i="6"/>
  <c r="K99" i="6" s="1"/>
  <c r="H99" i="6"/>
  <c r="H103" i="6" s="1"/>
  <c r="H14" i="7" s="1"/>
  <c r="C99" i="6"/>
  <c r="I99" i="6" s="1"/>
  <c r="K98" i="6"/>
  <c r="J98" i="6"/>
  <c r="H98" i="6"/>
  <c r="K93" i="6"/>
  <c r="J93" i="6"/>
  <c r="H93" i="6"/>
  <c r="C93" i="6"/>
  <c r="I93" i="6" s="1"/>
  <c r="J92" i="6"/>
  <c r="J94" i="6" s="1"/>
  <c r="I13" i="7" s="1"/>
  <c r="I92" i="6"/>
  <c r="H92" i="6"/>
  <c r="C92" i="6"/>
  <c r="K91" i="6"/>
  <c r="J91" i="6"/>
  <c r="I91" i="6"/>
  <c r="H91" i="6"/>
  <c r="C91" i="6"/>
  <c r="J90" i="6"/>
  <c r="K90" i="6" s="1"/>
  <c r="H90" i="6"/>
  <c r="H94" i="6" s="1"/>
  <c r="H13" i="7" s="1"/>
  <c r="C90" i="6"/>
  <c r="I90" i="6" s="1"/>
  <c r="K89" i="6"/>
  <c r="J89" i="6"/>
  <c r="H89" i="6"/>
  <c r="J84" i="6"/>
  <c r="K84" i="6" s="1"/>
  <c r="I84" i="6"/>
  <c r="H84" i="6"/>
  <c r="C84" i="6"/>
  <c r="J83" i="6"/>
  <c r="K83" i="6" s="1"/>
  <c r="H83" i="6"/>
  <c r="C83" i="6"/>
  <c r="I83" i="6" s="1"/>
  <c r="J82" i="6"/>
  <c r="K82" i="6" s="1"/>
  <c r="H82" i="6"/>
  <c r="C82" i="6"/>
  <c r="I82" i="6" s="1"/>
  <c r="J81" i="6"/>
  <c r="J85" i="6" s="1"/>
  <c r="I12" i="7" s="1"/>
  <c r="H81" i="6"/>
  <c r="I81" i="6" s="1"/>
  <c r="C81" i="6"/>
  <c r="K80" i="6"/>
  <c r="J80" i="6"/>
  <c r="H80" i="6"/>
  <c r="H85" i="6" s="1"/>
  <c r="H12" i="7" s="1"/>
  <c r="K75" i="6"/>
  <c r="J75" i="6"/>
  <c r="I75" i="6"/>
  <c r="H75" i="6"/>
  <c r="C75" i="6"/>
  <c r="K74" i="6"/>
  <c r="J74" i="6"/>
  <c r="H74" i="6"/>
  <c r="I74" i="6" s="1"/>
  <c r="C74" i="6"/>
  <c r="K73" i="6"/>
  <c r="J73" i="6"/>
  <c r="I73" i="6"/>
  <c r="H73" i="6"/>
  <c r="C73" i="6"/>
  <c r="K72" i="6"/>
  <c r="J72" i="6"/>
  <c r="J76" i="6" s="1"/>
  <c r="I11" i="7" s="1"/>
  <c r="H72" i="6"/>
  <c r="H76" i="6" s="1"/>
  <c r="H11" i="7" s="1"/>
  <c r="C72" i="6"/>
  <c r="K71" i="6"/>
  <c r="K76" i="6" s="1"/>
  <c r="J71" i="6"/>
  <c r="H71" i="6"/>
  <c r="K66" i="6"/>
  <c r="J66" i="6"/>
  <c r="I66" i="6"/>
  <c r="H66" i="6"/>
  <c r="C66" i="6"/>
  <c r="J65" i="6"/>
  <c r="K65" i="6" s="1"/>
  <c r="H65" i="6"/>
  <c r="C65" i="6"/>
  <c r="I65" i="6" s="1"/>
  <c r="K64" i="6"/>
  <c r="J64" i="6"/>
  <c r="I64" i="6"/>
  <c r="H64" i="6"/>
  <c r="C64" i="6"/>
  <c r="J63" i="6"/>
  <c r="J67" i="6" s="1"/>
  <c r="I10" i="7" s="1"/>
  <c r="H63" i="6"/>
  <c r="C63" i="6"/>
  <c r="I63" i="6" s="1"/>
  <c r="K62" i="6"/>
  <c r="J62" i="6"/>
  <c r="I62" i="6"/>
  <c r="H62" i="6"/>
  <c r="H67" i="6" s="1"/>
  <c r="H10" i="7" s="1"/>
  <c r="C62" i="6"/>
  <c r="K57" i="6"/>
  <c r="J57" i="6"/>
  <c r="I57" i="6"/>
  <c r="H57" i="6"/>
  <c r="C57" i="6"/>
  <c r="J56" i="6"/>
  <c r="K56" i="6" s="1"/>
  <c r="H56" i="6"/>
  <c r="I56" i="6" s="1"/>
  <c r="C56" i="6"/>
  <c r="K55" i="6"/>
  <c r="J55" i="6"/>
  <c r="H55" i="6"/>
  <c r="C55" i="6"/>
  <c r="I55" i="6" s="1"/>
  <c r="J54" i="6"/>
  <c r="J58" i="6" s="1"/>
  <c r="I9" i="7" s="1"/>
  <c r="H54" i="6"/>
  <c r="C54" i="6"/>
  <c r="I54" i="6" s="1"/>
  <c r="K53" i="6"/>
  <c r="J53" i="6"/>
  <c r="H53" i="6"/>
  <c r="H58" i="6" s="1"/>
  <c r="H9" i="7" s="1"/>
  <c r="C53" i="6"/>
  <c r="I53" i="6" s="1"/>
  <c r="J49" i="6"/>
  <c r="I8" i="7" s="1"/>
  <c r="K48" i="6"/>
  <c r="J48" i="6"/>
  <c r="I48" i="6"/>
  <c r="H48" i="6"/>
  <c r="C48" i="6"/>
  <c r="J47" i="6"/>
  <c r="K47" i="6" s="1"/>
  <c r="H47" i="6"/>
  <c r="I47" i="6" s="1"/>
  <c r="C47" i="6"/>
  <c r="K46" i="6"/>
  <c r="J46" i="6"/>
  <c r="I46" i="6"/>
  <c r="H46" i="6"/>
  <c r="C46" i="6"/>
  <c r="J45" i="6"/>
  <c r="K45" i="6" s="1"/>
  <c r="I45" i="6"/>
  <c r="H45" i="6"/>
  <c r="H49" i="6" s="1"/>
  <c r="H8" i="7" s="1"/>
  <c r="C45" i="6"/>
  <c r="K44" i="6"/>
  <c r="J44" i="6"/>
  <c r="H44" i="6"/>
  <c r="C44" i="6"/>
  <c r="I44" i="6" s="1"/>
  <c r="H40" i="6"/>
  <c r="H7" i="7" s="1"/>
  <c r="K39" i="6"/>
  <c r="J39" i="6"/>
  <c r="I39" i="6"/>
  <c r="H39" i="6"/>
  <c r="C39" i="6"/>
  <c r="J38" i="6"/>
  <c r="K38" i="6" s="1"/>
  <c r="H38" i="6"/>
  <c r="C38" i="6"/>
  <c r="I38" i="6" s="1"/>
  <c r="K37" i="6"/>
  <c r="J37" i="6"/>
  <c r="H37" i="6"/>
  <c r="C37" i="6"/>
  <c r="I37" i="6" s="1"/>
  <c r="J36" i="6"/>
  <c r="K36" i="6" s="1"/>
  <c r="H36" i="6"/>
  <c r="C36" i="6"/>
  <c r="I36" i="6" s="1"/>
  <c r="J35" i="6"/>
  <c r="K35" i="6" s="1"/>
  <c r="K40" i="6" s="1"/>
  <c r="H35" i="6"/>
  <c r="K30" i="6"/>
  <c r="J30" i="6"/>
  <c r="H30" i="6"/>
  <c r="C30" i="6"/>
  <c r="I30" i="6" s="1"/>
  <c r="J29" i="6"/>
  <c r="J31" i="6" s="1"/>
  <c r="I6" i="7" s="1"/>
  <c r="H29" i="6"/>
  <c r="C29" i="6"/>
  <c r="I29" i="6" s="1"/>
  <c r="K28" i="6"/>
  <c r="J28" i="6"/>
  <c r="H28" i="6"/>
  <c r="C28" i="6"/>
  <c r="I28" i="6" s="1"/>
  <c r="J27" i="6"/>
  <c r="K27" i="6" s="1"/>
  <c r="H27" i="6"/>
  <c r="H31" i="6" s="1"/>
  <c r="H6" i="7" s="1"/>
  <c r="C27" i="6"/>
  <c r="I27" i="6" s="1"/>
  <c r="K26" i="6"/>
  <c r="J26" i="6"/>
  <c r="H26" i="6"/>
  <c r="K21" i="6"/>
  <c r="J21" i="6"/>
  <c r="H21" i="6"/>
  <c r="C21" i="6"/>
  <c r="I21" i="6" s="1"/>
  <c r="J20" i="6"/>
  <c r="J22" i="6" s="1"/>
  <c r="I5" i="7" s="1"/>
  <c r="I20" i="6"/>
  <c r="H20" i="6"/>
  <c r="C20" i="6"/>
  <c r="K19" i="6"/>
  <c r="J19" i="6"/>
  <c r="I19" i="6"/>
  <c r="H19" i="6"/>
  <c r="C19" i="6"/>
  <c r="J18" i="6"/>
  <c r="K18" i="6" s="1"/>
  <c r="H18" i="6"/>
  <c r="H22" i="6" s="1"/>
  <c r="H5" i="7" s="1"/>
  <c r="C18" i="6"/>
  <c r="I18" i="6" s="1"/>
  <c r="K17" i="6"/>
  <c r="J17" i="6"/>
  <c r="H17" i="6"/>
  <c r="J12" i="6"/>
  <c r="K12" i="6" s="1"/>
  <c r="H12" i="6"/>
  <c r="C12" i="6"/>
  <c r="I12" i="6" s="1"/>
  <c r="J11" i="6"/>
  <c r="K11" i="6" s="1"/>
  <c r="H11" i="6"/>
  <c r="C11" i="6"/>
  <c r="I11" i="6" s="1"/>
  <c r="J10" i="6"/>
  <c r="K10" i="6" s="1"/>
  <c r="H10" i="6"/>
  <c r="C10" i="6"/>
  <c r="I10" i="6" s="1"/>
  <c r="J9" i="6"/>
  <c r="J13" i="6" s="1"/>
  <c r="H9" i="6"/>
  <c r="I9" i="6" s="1"/>
  <c r="C9" i="6"/>
  <c r="K8" i="6"/>
  <c r="J8" i="6"/>
  <c r="H8" i="6"/>
  <c r="H13" i="6" s="1"/>
  <c r="A1" i="6"/>
  <c r="A1" i="5"/>
  <c r="I61" i="4"/>
  <c r="H61" i="4"/>
  <c r="G61" i="4"/>
  <c r="E61" i="4"/>
  <c r="I60" i="4"/>
  <c r="H60" i="4"/>
  <c r="G60" i="4"/>
  <c r="E60" i="4"/>
  <c r="I59" i="4"/>
  <c r="H59" i="4"/>
  <c r="G59" i="4"/>
  <c r="E59" i="4"/>
  <c r="I58" i="4"/>
  <c r="H58" i="4"/>
  <c r="G58" i="4"/>
  <c r="I57" i="4"/>
  <c r="H57" i="4"/>
  <c r="G57" i="4"/>
  <c r="I56" i="4"/>
  <c r="H56" i="4"/>
  <c r="G56" i="4"/>
  <c r="I55" i="4"/>
  <c r="H55" i="4"/>
  <c r="G55" i="4"/>
  <c r="I54" i="4"/>
  <c r="H54" i="4"/>
  <c r="G54" i="4"/>
  <c r="I53" i="4"/>
  <c r="H53" i="4"/>
  <c r="I52" i="4"/>
  <c r="H52" i="4"/>
  <c r="G52" i="4"/>
  <c r="I51" i="4"/>
  <c r="H51" i="4"/>
  <c r="G51" i="4"/>
  <c r="E51" i="4"/>
  <c r="I50" i="4"/>
  <c r="H50" i="4"/>
  <c r="G50" i="4"/>
  <c r="I49" i="4"/>
  <c r="H49" i="4"/>
  <c r="G49" i="4"/>
  <c r="I48" i="4"/>
  <c r="H48" i="4"/>
  <c r="G48" i="4"/>
  <c r="I47" i="4"/>
  <c r="H47" i="4"/>
  <c r="G47" i="4"/>
  <c r="I46" i="4"/>
  <c r="H46" i="4"/>
  <c r="G46" i="4"/>
  <c r="I45" i="4"/>
  <c r="H45" i="4"/>
  <c r="E45" i="4"/>
  <c r="E44" i="4"/>
  <c r="H43" i="4"/>
  <c r="E43" i="4"/>
  <c r="I42" i="4"/>
  <c r="H42" i="4"/>
  <c r="G42" i="4"/>
  <c r="E42" i="4"/>
  <c r="H41" i="4"/>
  <c r="G41" i="4"/>
  <c r="E41" i="4"/>
  <c r="I40" i="4"/>
  <c r="E40" i="4"/>
  <c r="E39" i="4"/>
  <c r="G38" i="4"/>
  <c r="E38" i="4"/>
  <c r="E37" i="4"/>
  <c r="E36" i="4"/>
  <c r="E35" i="4"/>
  <c r="I34" i="4"/>
  <c r="H34" i="4"/>
  <c r="G34" i="4"/>
  <c r="E34" i="4"/>
  <c r="H33" i="4"/>
  <c r="G33" i="4"/>
  <c r="E33" i="4"/>
  <c r="I32" i="4"/>
  <c r="E32" i="4"/>
  <c r="E31" i="4"/>
  <c r="G30" i="4"/>
  <c r="E30" i="4"/>
  <c r="E29" i="4"/>
  <c r="E28" i="4"/>
  <c r="E27" i="4"/>
  <c r="I26" i="4"/>
  <c r="H26" i="4"/>
  <c r="G26" i="4"/>
  <c r="E26" i="4"/>
  <c r="H25" i="4"/>
  <c r="G25" i="4"/>
  <c r="E25" i="4"/>
  <c r="I24" i="4"/>
  <c r="E24" i="4"/>
  <c r="G22" i="4"/>
  <c r="E22" i="4"/>
  <c r="E21" i="4"/>
  <c r="E20" i="4"/>
  <c r="E19" i="4"/>
  <c r="I18" i="4"/>
  <c r="H18" i="4"/>
  <c r="G18" i="4"/>
  <c r="E18" i="4"/>
  <c r="H17" i="4"/>
  <c r="G17" i="4"/>
  <c r="E17" i="4"/>
  <c r="I16" i="4"/>
  <c r="E16" i="4"/>
  <c r="E15" i="4"/>
  <c r="G14" i="4"/>
  <c r="E14" i="4"/>
  <c r="E13" i="4"/>
  <c r="E12" i="4"/>
  <c r="E11" i="4"/>
  <c r="I10" i="4"/>
  <c r="H10" i="4"/>
  <c r="G10" i="4"/>
  <c r="E10" i="4"/>
  <c r="H9" i="4"/>
  <c r="G9" i="4"/>
  <c r="E9" i="4"/>
  <c r="I8" i="4"/>
  <c r="E8" i="4"/>
  <c r="E7" i="4"/>
  <c r="G6" i="4"/>
  <c r="E6" i="4"/>
  <c r="E5" i="4"/>
  <c r="K62" i="3"/>
  <c r="M62" i="3" s="1"/>
  <c r="N62" i="3" s="1"/>
  <c r="F62" i="3"/>
  <c r="K61" i="3"/>
  <c r="L61" i="3" s="1"/>
  <c r="F61" i="3"/>
  <c r="N60" i="3"/>
  <c r="M60" i="3"/>
  <c r="L60" i="3"/>
  <c r="K60" i="3"/>
  <c r="M59" i="3"/>
  <c r="N59" i="3" s="1"/>
  <c r="K59" i="3"/>
  <c r="L59" i="3" s="1"/>
  <c r="K58" i="3"/>
  <c r="M58" i="3" s="1"/>
  <c r="N58" i="3" s="1"/>
  <c r="F58" i="3"/>
  <c r="K57" i="3"/>
  <c r="M57" i="3" s="1"/>
  <c r="N57" i="3" s="1"/>
  <c r="M56" i="3"/>
  <c r="N56" i="3" s="1"/>
  <c r="L56" i="3"/>
  <c r="K56" i="3"/>
  <c r="M55" i="3"/>
  <c r="N55" i="3" s="1"/>
  <c r="K55" i="3"/>
  <c r="L55" i="3" s="1"/>
  <c r="F55" i="3"/>
  <c r="F54" i="3"/>
  <c r="K54" i="3" s="1"/>
  <c r="K53" i="3"/>
  <c r="M53" i="3" s="1"/>
  <c r="N53" i="3" s="1"/>
  <c r="M52" i="3"/>
  <c r="N52" i="3" s="1"/>
  <c r="L52" i="3"/>
  <c r="K52" i="3"/>
  <c r="F51" i="3"/>
  <c r="K51" i="3" s="1"/>
  <c r="F50" i="3"/>
  <c r="K50" i="3" s="1"/>
  <c r="F46" i="3"/>
  <c r="K46" i="3" s="1"/>
  <c r="K45" i="3"/>
  <c r="M45" i="3" s="1"/>
  <c r="N45" i="3" s="1"/>
  <c r="J45" i="3"/>
  <c r="I44" i="4" s="1"/>
  <c r="H45" i="3"/>
  <c r="H44" i="4" s="1"/>
  <c r="G45" i="3"/>
  <c r="G44" i="4" s="1"/>
  <c r="F45" i="3"/>
  <c r="K44" i="3"/>
  <c r="M44" i="3" s="1"/>
  <c r="N44" i="3" s="1"/>
  <c r="J44" i="3"/>
  <c r="I43" i="4" s="1"/>
  <c r="H44" i="3"/>
  <c r="G44" i="3"/>
  <c r="G43" i="4" s="1"/>
  <c r="F44" i="3"/>
  <c r="K43" i="3"/>
  <c r="L43" i="3" s="1"/>
  <c r="J43" i="3"/>
  <c r="H43" i="3"/>
  <c r="G43" i="3"/>
  <c r="F43" i="3"/>
  <c r="K42" i="3"/>
  <c r="M42" i="3" s="1"/>
  <c r="N42" i="3" s="1"/>
  <c r="J42" i="3"/>
  <c r="I41" i="4" s="1"/>
  <c r="H42" i="3"/>
  <c r="G42" i="3"/>
  <c r="F42" i="3"/>
  <c r="K41" i="3"/>
  <c r="M41" i="3" s="1"/>
  <c r="N41" i="3" s="1"/>
  <c r="J41" i="3"/>
  <c r="H41" i="3"/>
  <c r="H40" i="4" s="1"/>
  <c r="G41" i="3"/>
  <c r="G40" i="4" s="1"/>
  <c r="F41" i="3"/>
  <c r="K40" i="3"/>
  <c r="M40" i="3" s="1"/>
  <c r="N40" i="3" s="1"/>
  <c r="J40" i="3"/>
  <c r="I39" i="4" s="1"/>
  <c r="H40" i="3"/>
  <c r="H39" i="4" s="1"/>
  <c r="G40" i="3"/>
  <c r="G39" i="4" s="1"/>
  <c r="F40" i="3"/>
  <c r="K39" i="3"/>
  <c r="L39" i="3" s="1"/>
  <c r="J39" i="3"/>
  <c r="I38" i="4" s="1"/>
  <c r="H39" i="3"/>
  <c r="H38" i="4" s="1"/>
  <c r="G39" i="3"/>
  <c r="F39" i="3"/>
  <c r="K38" i="3"/>
  <c r="M38" i="3" s="1"/>
  <c r="N38" i="3" s="1"/>
  <c r="J38" i="3"/>
  <c r="I37" i="4" s="1"/>
  <c r="H38" i="3"/>
  <c r="H37" i="4" s="1"/>
  <c r="G38" i="3"/>
  <c r="G37" i="4" s="1"/>
  <c r="F38" i="3"/>
  <c r="K37" i="3"/>
  <c r="M37" i="3" s="1"/>
  <c r="N37" i="3" s="1"/>
  <c r="J37" i="3"/>
  <c r="I36" i="4" s="1"/>
  <c r="H37" i="3"/>
  <c r="H36" i="4" s="1"/>
  <c r="G37" i="3"/>
  <c r="G36" i="4" s="1"/>
  <c r="F37" i="3"/>
  <c r="K36" i="3"/>
  <c r="M36" i="3" s="1"/>
  <c r="N36" i="3" s="1"/>
  <c r="J36" i="3"/>
  <c r="I35" i="4" s="1"/>
  <c r="H36" i="3"/>
  <c r="H35" i="4" s="1"/>
  <c r="G36" i="3"/>
  <c r="G35" i="4" s="1"/>
  <c r="F36" i="3"/>
  <c r="K35" i="3"/>
  <c r="L35" i="3" s="1"/>
  <c r="J35" i="3"/>
  <c r="H35" i="3"/>
  <c r="G35" i="3"/>
  <c r="F35" i="3"/>
  <c r="K34" i="3"/>
  <c r="M34" i="3" s="1"/>
  <c r="N34" i="3" s="1"/>
  <c r="J34" i="3"/>
  <c r="I33" i="4" s="1"/>
  <c r="H34" i="3"/>
  <c r="G34" i="3"/>
  <c r="F34" i="3"/>
  <c r="K33" i="3"/>
  <c r="M33" i="3" s="1"/>
  <c r="N33" i="3" s="1"/>
  <c r="J33" i="3"/>
  <c r="H33" i="3"/>
  <c r="H32" i="4" s="1"/>
  <c r="G33" i="3"/>
  <c r="G32" i="4" s="1"/>
  <c r="F33" i="3"/>
  <c r="K32" i="3"/>
  <c r="M32" i="3" s="1"/>
  <c r="N32" i="3" s="1"/>
  <c r="J32" i="3"/>
  <c r="I31" i="4" s="1"/>
  <c r="H32" i="3"/>
  <c r="H31" i="4" s="1"/>
  <c r="G32" i="3"/>
  <c r="G31" i="4" s="1"/>
  <c r="F32" i="3"/>
  <c r="K31" i="3"/>
  <c r="L31" i="3" s="1"/>
  <c r="J31" i="3"/>
  <c r="I30" i="4" s="1"/>
  <c r="H31" i="3"/>
  <c r="H30" i="4" s="1"/>
  <c r="G31" i="3"/>
  <c r="F31" i="3"/>
  <c r="K30" i="3"/>
  <c r="L30" i="3" s="1"/>
  <c r="J30" i="3"/>
  <c r="I29" i="4" s="1"/>
  <c r="H30" i="3"/>
  <c r="H29" i="4" s="1"/>
  <c r="G30" i="3"/>
  <c r="G29" i="4" s="1"/>
  <c r="F30" i="3"/>
  <c r="K29" i="3"/>
  <c r="M29" i="3" s="1"/>
  <c r="N29" i="3" s="1"/>
  <c r="J29" i="3"/>
  <c r="I28" i="4" s="1"/>
  <c r="H29" i="3"/>
  <c r="H28" i="4" s="1"/>
  <c r="G29" i="3"/>
  <c r="G28" i="4" s="1"/>
  <c r="F29" i="3"/>
  <c r="K28" i="3"/>
  <c r="L28" i="3" s="1"/>
  <c r="J28" i="3"/>
  <c r="I27" i="4" s="1"/>
  <c r="H28" i="3"/>
  <c r="H27" i="4" s="1"/>
  <c r="G28" i="3"/>
  <c r="G27" i="4" s="1"/>
  <c r="F28" i="3"/>
  <c r="K27" i="3"/>
  <c r="L27" i="3" s="1"/>
  <c r="J27" i="3"/>
  <c r="H27" i="3"/>
  <c r="G27" i="3"/>
  <c r="F27" i="3"/>
  <c r="K26" i="3"/>
  <c r="M26" i="3" s="1"/>
  <c r="N26" i="3" s="1"/>
  <c r="J26" i="3"/>
  <c r="I25" i="4" s="1"/>
  <c r="H26" i="3"/>
  <c r="G26" i="3"/>
  <c r="F26" i="3"/>
  <c r="K25" i="3"/>
  <c r="M25" i="3" s="1"/>
  <c r="N25" i="3" s="1"/>
  <c r="J25" i="3"/>
  <c r="H25" i="3"/>
  <c r="H24" i="4" s="1"/>
  <c r="G25" i="3"/>
  <c r="G24" i="4" s="1"/>
  <c r="F25" i="3"/>
  <c r="K24" i="3"/>
  <c r="M24" i="3" s="1"/>
  <c r="N24" i="3" s="1"/>
  <c r="J24" i="3"/>
  <c r="I23" i="4" s="1"/>
  <c r="H24" i="3"/>
  <c r="H23" i="4" s="1"/>
  <c r="G24" i="3"/>
  <c r="G23" i="4" s="1"/>
  <c r="K23" i="3"/>
  <c r="L23" i="3" s="1"/>
  <c r="J23" i="3"/>
  <c r="I22" i="4" s="1"/>
  <c r="H23" i="3"/>
  <c r="H22" i="4" s="1"/>
  <c r="G23" i="3"/>
  <c r="F23" i="3"/>
  <c r="K22" i="3"/>
  <c r="M22" i="3" s="1"/>
  <c r="N22" i="3" s="1"/>
  <c r="J22" i="3"/>
  <c r="I21" i="4" s="1"/>
  <c r="H22" i="3"/>
  <c r="H21" i="4" s="1"/>
  <c r="G22" i="3"/>
  <c r="G21" i="4" s="1"/>
  <c r="F22" i="3"/>
  <c r="K21" i="3"/>
  <c r="M21" i="3" s="1"/>
  <c r="N21" i="3" s="1"/>
  <c r="J21" i="3"/>
  <c r="I20" i="4" s="1"/>
  <c r="H21" i="3"/>
  <c r="H20" i="4" s="1"/>
  <c r="G21" i="3"/>
  <c r="G20" i="4" s="1"/>
  <c r="F21" i="3"/>
  <c r="K20" i="3"/>
  <c r="M20" i="3" s="1"/>
  <c r="N20" i="3" s="1"/>
  <c r="J20" i="3"/>
  <c r="I19" i="4" s="1"/>
  <c r="H20" i="3"/>
  <c r="H19" i="4" s="1"/>
  <c r="G20" i="3"/>
  <c r="G19" i="4" s="1"/>
  <c r="F20" i="3"/>
  <c r="K19" i="3"/>
  <c r="L19" i="3" s="1"/>
  <c r="J19" i="3"/>
  <c r="H19" i="3"/>
  <c r="G19" i="3"/>
  <c r="F19" i="3"/>
  <c r="K18" i="3"/>
  <c r="M18" i="3" s="1"/>
  <c r="N18" i="3" s="1"/>
  <c r="J18" i="3"/>
  <c r="I17" i="4" s="1"/>
  <c r="H18" i="3"/>
  <c r="G18" i="3"/>
  <c r="F18" i="3"/>
  <c r="K17" i="3"/>
  <c r="M17" i="3" s="1"/>
  <c r="N17" i="3" s="1"/>
  <c r="J17" i="3"/>
  <c r="H17" i="3"/>
  <c r="H16" i="4" s="1"/>
  <c r="G17" i="3"/>
  <c r="G16" i="4" s="1"/>
  <c r="F17" i="3"/>
  <c r="K16" i="3"/>
  <c r="M16" i="3" s="1"/>
  <c r="N16" i="3" s="1"/>
  <c r="J16" i="3"/>
  <c r="I15" i="4" s="1"/>
  <c r="H16" i="3"/>
  <c r="H15" i="4" s="1"/>
  <c r="G16" i="3"/>
  <c r="G15" i="4" s="1"/>
  <c r="F16" i="3"/>
  <c r="K15" i="3"/>
  <c r="L15" i="3" s="1"/>
  <c r="J15" i="3"/>
  <c r="I14" i="4" s="1"/>
  <c r="H15" i="3"/>
  <c r="H14" i="4" s="1"/>
  <c r="G15" i="3"/>
  <c r="F15" i="3"/>
  <c r="K14" i="3"/>
  <c r="L14" i="3" s="1"/>
  <c r="J14" i="3"/>
  <c r="I13" i="4" s="1"/>
  <c r="H14" i="3"/>
  <c r="H13" i="4" s="1"/>
  <c r="G14" i="3"/>
  <c r="G13" i="4" s="1"/>
  <c r="F14" i="3"/>
  <c r="K13" i="3"/>
  <c r="M13" i="3" s="1"/>
  <c r="N13" i="3" s="1"/>
  <c r="J13" i="3"/>
  <c r="I12" i="4" s="1"/>
  <c r="H13" i="3"/>
  <c r="H12" i="4" s="1"/>
  <c r="G13" i="3"/>
  <c r="G12" i="4" s="1"/>
  <c r="F13" i="3"/>
  <c r="K12" i="3"/>
  <c r="L12" i="3" s="1"/>
  <c r="J12" i="3"/>
  <c r="I11" i="4" s="1"/>
  <c r="H12" i="3"/>
  <c r="H11" i="4" s="1"/>
  <c r="G12" i="3"/>
  <c r="G11" i="4" s="1"/>
  <c r="F12" i="3"/>
  <c r="K11" i="3"/>
  <c r="L11" i="3" s="1"/>
  <c r="J11" i="3"/>
  <c r="H11" i="3"/>
  <c r="G11" i="3"/>
  <c r="F11" i="3"/>
  <c r="K10" i="3"/>
  <c r="M10" i="3" s="1"/>
  <c r="N10" i="3" s="1"/>
  <c r="J10" i="3"/>
  <c r="I9" i="4" s="1"/>
  <c r="H10" i="3"/>
  <c r="G10" i="3"/>
  <c r="K9" i="3"/>
  <c r="M9" i="3" s="1"/>
  <c r="N9" i="3" s="1"/>
  <c r="J9" i="3"/>
  <c r="H9" i="3"/>
  <c r="H8" i="4" s="1"/>
  <c r="G9" i="3"/>
  <c r="G8" i="4" s="1"/>
  <c r="F9" i="3"/>
  <c r="K8" i="3"/>
  <c r="L8" i="3" s="1"/>
  <c r="J8" i="3"/>
  <c r="I7" i="4" s="1"/>
  <c r="H8" i="3"/>
  <c r="H7" i="4" s="1"/>
  <c r="G8" i="3"/>
  <c r="G7" i="4" s="1"/>
  <c r="F8" i="3"/>
  <c r="K7" i="3"/>
  <c r="L7" i="3" s="1"/>
  <c r="J7" i="3"/>
  <c r="I6" i="4" s="1"/>
  <c r="H7" i="3"/>
  <c r="H6" i="4" s="1"/>
  <c r="G7" i="3"/>
  <c r="F7" i="3"/>
  <c r="K6" i="3"/>
  <c r="L6" i="3" s="1"/>
  <c r="J6" i="3"/>
  <c r="I5" i="4" s="1"/>
  <c r="H6" i="3"/>
  <c r="H5" i="4" s="1"/>
  <c r="G6" i="3"/>
  <c r="G5" i="4" s="1"/>
  <c r="F6" i="3"/>
  <c r="A1" i="3"/>
  <c r="A1" i="2"/>
  <c r="B36" i="1"/>
  <c r="C11" i="8" s="1"/>
  <c r="K11" i="8" s="1"/>
  <c r="L11" i="8" s="1"/>
  <c r="B35" i="1"/>
  <c r="C14" i="8" s="1"/>
  <c r="K14" i="8" s="1"/>
  <c r="L14" i="8" s="1"/>
  <c r="B34" i="1"/>
  <c r="B33" i="1"/>
  <c r="E49" i="4" s="1"/>
  <c r="B32" i="1"/>
  <c r="B31" i="1"/>
  <c r="E54" i="4" s="1"/>
  <c r="B30" i="1"/>
  <c r="B29" i="1"/>
  <c r="B28" i="1"/>
  <c r="E55" i="4" s="1"/>
  <c r="B27" i="1"/>
  <c r="B26" i="1"/>
  <c r="F53" i="3" s="1"/>
  <c r="B25" i="1"/>
  <c r="B24" i="1"/>
  <c r="B23" i="1"/>
  <c r="F10" i="3" s="1"/>
  <c r="B22" i="1"/>
  <c r="B21" i="1"/>
  <c r="B20" i="1"/>
  <c r="B19" i="1"/>
  <c r="E23" i="4" s="1"/>
  <c r="B18" i="1"/>
  <c r="B17" i="1"/>
  <c r="E53" i="4" s="1"/>
  <c r="B16" i="1"/>
  <c r="C143" i="6" s="1"/>
  <c r="I143" i="6" s="1"/>
  <c r="B15" i="1"/>
  <c r="B14" i="1"/>
  <c r="C89" i="6" s="1"/>
  <c r="I89" i="6" s="1"/>
  <c r="B13" i="1"/>
  <c r="C98" i="6" s="1"/>
  <c r="I98" i="6" s="1"/>
  <c r="H4" i="7" l="1"/>
  <c r="M50" i="3"/>
  <c r="N50" i="3" s="1"/>
  <c r="L50" i="3"/>
  <c r="K49" i="6"/>
  <c r="M54" i="3"/>
  <c r="N54" i="3" s="1"/>
  <c r="L54" i="3"/>
  <c r="M46" i="3"/>
  <c r="N46" i="3" s="1"/>
  <c r="L46" i="3"/>
  <c r="I4" i="7"/>
  <c r="K94" i="6"/>
  <c r="K112" i="6"/>
  <c r="M51" i="3"/>
  <c r="N51" i="3" s="1"/>
  <c r="L51" i="3"/>
  <c r="K67" i="6"/>
  <c r="K193" i="6"/>
  <c r="M11" i="3"/>
  <c r="N11" i="3" s="1"/>
  <c r="M23" i="3"/>
  <c r="N23" i="3" s="1"/>
  <c r="M31" i="3"/>
  <c r="N31" i="3" s="1"/>
  <c r="M35" i="3"/>
  <c r="N35" i="3" s="1"/>
  <c r="M39" i="3"/>
  <c r="N39" i="3" s="1"/>
  <c r="M43" i="3"/>
  <c r="N43" i="3" s="1"/>
  <c r="M61" i="3"/>
  <c r="N61" i="3" s="1"/>
  <c r="C134" i="6"/>
  <c r="I134" i="6" s="1"/>
  <c r="M7" i="3"/>
  <c r="N7" i="3" s="1"/>
  <c r="M15" i="3"/>
  <c r="N15" i="3" s="1"/>
  <c r="M19" i="3"/>
  <c r="N19" i="3" s="1"/>
  <c r="M27" i="3"/>
  <c r="N27" i="3" s="1"/>
  <c r="E58" i="4"/>
  <c r="F49" i="3"/>
  <c r="K49" i="3" s="1"/>
  <c r="E50" i="4"/>
  <c r="K9" i="6"/>
  <c r="K13" i="6" s="1"/>
  <c r="K195" i="6" s="1"/>
  <c r="K198" i="6" s="1"/>
  <c r="K200" i="6" s="1"/>
  <c r="K81" i="6"/>
  <c r="K85" i="6" s="1"/>
  <c r="C7" i="8"/>
  <c r="K7" i="8" s="1"/>
  <c r="L7" i="8" s="1"/>
  <c r="C15" i="8"/>
  <c r="K15" i="8" s="1"/>
  <c r="L15" i="8" s="1"/>
  <c r="K29" i="6"/>
  <c r="K31" i="6" s="1"/>
  <c r="I72" i="6"/>
  <c r="K101" i="6"/>
  <c r="K103" i="6" s="1"/>
  <c r="K173" i="6"/>
  <c r="K175" i="6" s="1"/>
  <c r="F56" i="3"/>
  <c r="L62" i="3"/>
  <c r="C125" i="6"/>
  <c r="I125" i="6" s="1"/>
  <c r="J40" i="6"/>
  <c r="I7" i="7" s="1"/>
  <c r="J112" i="6"/>
  <c r="I15" i="7" s="1"/>
  <c r="K154" i="6"/>
  <c r="K157" i="6" s="1"/>
  <c r="J184" i="6"/>
  <c r="I23" i="7" s="1"/>
  <c r="C8" i="8"/>
  <c r="K8" i="8" s="1"/>
  <c r="L8" i="8" s="1"/>
  <c r="C16" i="8"/>
  <c r="K16" i="8" s="1"/>
  <c r="L16" i="8" s="1"/>
  <c r="K20" i="6"/>
  <c r="K22" i="6" s="1"/>
  <c r="K92" i="6"/>
  <c r="K164" i="6"/>
  <c r="K166" i="6" s="1"/>
  <c r="L16" i="3"/>
  <c r="L24" i="3"/>
  <c r="L40" i="3"/>
  <c r="M8" i="3"/>
  <c r="N8" i="3" s="1"/>
  <c r="M12" i="3"/>
  <c r="N12" i="3" s="1"/>
  <c r="M28" i="3"/>
  <c r="N28" i="3" s="1"/>
  <c r="C188" i="6"/>
  <c r="I188" i="6" s="1"/>
  <c r="L20" i="3"/>
  <c r="L32" i="3"/>
  <c r="L36" i="3"/>
  <c r="L44" i="3"/>
  <c r="F57" i="3"/>
  <c r="E52" i="4"/>
  <c r="K63" i="6"/>
  <c r="K135" i="6"/>
  <c r="K139" i="6" s="1"/>
  <c r="C9" i="8"/>
  <c r="K9" i="8" s="1"/>
  <c r="L9" i="8" s="1"/>
  <c r="L57" i="3"/>
  <c r="C35" i="6"/>
  <c r="I35" i="6" s="1"/>
  <c r="C107" i="6"/>
  <c r="I107" i="6" s="1"/>
  <c r="C179" i="6"/>
  <c r="I179" i="6" s="1"/>
  <c r="K54" i="6"/>
  <c r="K58" i="6" s="1"/>
  <c r="K126" i="6"/>
  <c r="K130" i="6" s="1"/>
  <c r="H166" i="6"/>
  <c r="H21" i="7" s="1"/>
  <c r="C10" i="8"/>
  <c r="K10" i="8" s="1"/>
  <c r="L10" i="8" s="1"/>
  <c r="L9" i="3"/>
  <c r="L13" i="3"/>
  <c r="L17" i="3"/>
  <c r="L21" i="3"/>
  <c r="L25" i="3"/>
  <c r="L29" i="3"/>
  <c r="L33" i="3"/>
  <c r="L37" i="3"/>
  <c r="L41" i="3"/>
  <c r="L45" i="3"/>
  <c r="F52" i="3"/>
  <c r="L58" i="3"/>
  <c r="C26" i="6"/>
  <c r="I26" i="6" s="1"/>
  <c r="C170" i="6"/>
  <c r="I170" i="6" s="1"/>
  <c r="E46" i="4"/>
  <c r="G10" i="5" s="1"/>
  <c r="K10" i="5" s="1"/>
  <c r="P10" i="5" s="1"/>
  <c r="F8" i="7" s="1"/>
  <c r="F24" i="3"/>
  <c r="F59" i="3"/>
  <c r="C17" i="6"/>
  <c r="I17" i="6" s="1"/>
  <c r="C161" i="6"/>
  <c r="I161" i="6" s="1"/>
  <c r="E47" i="4"/>
  <c r="C12" i="8"/>
  <c r="K12" i="8" s="1"/>
  <c r="L12" i="8" s="1"/>
  <c r="L10" i="3"/>
  <c r="L18" i="3"/>
  <c r="L22" i="3"/>
  <c r="F47" i="3"/>
  <c r="K47" i="3" s="1"/>
  <c r="M6" i="3"/>
  <c r="M14" i="3"/>
  <c r="N14" i="3" s="1"/>
  <c r="M30" i="3"/>
  <c r="N30" i="3" s="1"/>
  <c r="F60" i="3"/>
  <c r="C8" i="6"/>
  <c r="I8" i="6" s="1"/>
  <c r="C80" i="6"/>
  <c r="I80" i="6" s="1"/>
  <c r="C152" i="6"/>
  <c r="I152" i="6" s="1"/>
  <c r="L26" i="3"/>
  <c r="L34" i="3"/>
  <c r="L38" i="3"/>
  <c r="L42" i="3"/>
  <c r="L53" i="3"/>
  <c r="E56" i="4"/>
  <c r="E48" i="4"/>
  <c r="C13" i="8"/>
  <c r="K13" i="8" s="1"/>
  <c r="L13" i="8" s="1"/>
  <c r="F48" i="3"/>
  <c r="K48" i="3" s="1"/>
  <c r="E57" i="4"/>
  <c r="L25" i="5" s="1"/>
  <c r="C71" i="6"/>
  <c r="I71" i="6" s="1"/>
  <c r="C6" i="8"/>
  <c r="K6" i="8" s="1"/>
  <c r="L7" i="5" l="1"/>
  <c r="L12" i="5"/>
  <c r="G14" i="5"/>
  <c r="K14" i="5" s="1"/>
  <c r="P14" i="5" s="1"/>
  <c r="F12" i="7" s="1"/>
  <c r="G7" i="5"/>
  <c r="K7" i="5" s="1"/>
  <c r="P7" i="5" s="1"/>
  <c r="F5" i="7" s="1"/>
  <c r="L10" i="5"/>
  <c r="G16" i="5"/>
  <c r="K16" i="5" s="1"/>
  <c r="P16" i="5" s="1"/>
  <c r="F14" i="7" s="1"/>
  <c r="G15" i="5"/>
  <c r="K15" i="5" s="1"/>
  <c r="P15" i="5" s="1"/>
  <c r="F13" i="7" s="1"/>
  <c r="L13" i="5"/>
  <c r="L26" i="5"/>
  <c r="G6" i="5"/>
  <c r="K6" i="5" s="1"/>
  <c r="P6" i="5" s="1"/>
  <c r="L23" i="5"/>
  <c r="H23" i="5"/>
  <c r="J23" i="5" s="1"/>
  <c r="O23" i="5" s="1"/>
  <c r="E21" i="7" s="1"/>
  <c r="J195" i="6"/>
  <c r="J198" i="6" s="1"/>
  <c r="L21" i="5"/>
  <c r="H15" i="5"/>
  <c r="J15" i="5" s="1"/>
  <c r="O15" i="5" s="1"/>
  <c r="E13" i="7" s="1"/>
  <c r="I26" i="7"/>
  <c r="G22" i="5"/>
  <c r="K22" i="5" s="1"/>
  <c r="P22" i="5" s="1"/>
  <c r="F20" i="7" s="1"/>
  <c r="H7" i="5"/>
  <c r="J7" i="5" s="1"/>
  <c r="O7" i="5" s="1"/>
  <c r="E5" i="7" s="1"/>
  <c r="L11" i="5"/>
  <c r="H18" i="5"/>
  <c r="J18" i="5" s="1"/>
  <c r="O18" i="5" s="1"/>
  <c r="E16" i="7" s="1"/>
  <c r="H26" i="5"/>
  <c r="J26" i="5" s="1"/>
  <c r="O26" i="5" s="1"/>
  <c r="E24" i="7" s="1"/>
  <c r="H10" i="5"/>
  <c r="J10" i="5" s="1"/>
  <c r="O10" i="5" s="1"/>
  <c r="E8" i="7" s="1"/>
  <c r="G17" i="5"/>
  <c r="K17" i="5" s="1"/>
  <c r="P17" i="5" s="1"/>
  <c r="F15" i="7" s="1"/>
  <c r="H13" i="5"/>
  <c r="J13" i="5" s="1"/>
  <c r="O13" i="5" s="1"/>
  <c r="E11" i="7" s="1"/>
  <c r="H21" i="5"/>
  <c r="J21" i="5" s="1"/>
  <c r="O21" i="5" s="1"/>
  <c r="E19" i="7" s="1"/>
  <c r="H16" i="5"/>
  <c r="J16" i="5" s="1"/>
  <c r="O16" i="5" s="1"/>
  <c r="E14" i="7" s="1"/>
  <c r="L9" i="5"/>
  <c r="G26" i="5"/>
  <c r="K26" i="5" s="1"/>
  <c r="P26" i="5" s="1"/>
  <c r="F24" i="7" s="1"/>
  <c r="H24" i="5"/>
  <c r="J24" i="5" s="1"/>
  <c r="O24" i="5" s="1"/>
  <c r="E22" i="7" s="1"/>
  <c r="G9" i="5"/>
  <c r="K9" i="5" s="1"/>
  <c r="P9" i="5" s="1"/>
  <c r="F7" i="7" s="1"/>
  <c r="G18" i="5"/>
  <c r="K18" i="5" s="1"/>
  <c r="P18" i="5" s="1"/>
  <c r="F16" i="7" s="1"/>
  <c r="H8" i="5"/>
  <c r="J8" i="5" s="1"/>
  <c r="O8" i="5" s="1"/>
  <c r="E6" i="7" s="1"/>
  <c r="G8" i="5"/>
  <c r="K8" i="5" s="1"/>
  <c r="P8" i="5" s="1"/>
  <c r="F6" i="7" s="1"/>
  <c r="H11" i="5"/>
  <c r="J11" i="5" s="1"/>
  <c r="O11" i="5" s="1"/>
  <c r="E9" i="7" s="1"/>
  <c r="M48" i="3"/>
  <c r="N48" i="3" s="1"/>
  <c r="L48" i="3"/>
  <c r="L18" i="5"/>
  <c r="H19" i="5"/>
  <c r="J19" i="5" s="1"/>
  <c r="O19" i="5" s="1"/>
  <c r="E17" i="7" s="1"/>
  <c r="L17" i="5"/>
  <c r="N6" i="3"/>
  <c r="H6" i="5"/>
  <c r="J6" i="5" s="1"/>
  <c r="O6" i="5" s="1"/>
  <c r="L19" i="5"/>
  <c r="L49" i="3"/>
  <c r="M49" i="3"/>
  <c r="N49" i="3" s="1"/>
  <c r="H14" i="5"/>
  <c r="J14" i="5" s="1"/>
  <c r="O14" i="5" s="1"/>
  <c r="E12" i="7" s="1"/>
  <c r="H22" i="5"/>
  <c r="J22" i="5" s="1"/>
  <c r="O22" i="5" s="1"/>
  <c r="E20" i="7" s="1"/>
  <c r="G11" i="5"/>
  <c r="K11" i="5" s="1"/>
  <c r="P11" i="5" s="1"/>
  <c r="F9" i="7" s="1"/>
  <c r="M47" i="3"/>
  <c r="N47" i="3" s="1"/>
  <c r="L47" i="3"/>
  <c r="L63" i="3" s="1"/>
  <c r="K63" i="3"/>
  <c r="H9" i="5"/>
  <c r="J9" i="5" s="1"/>
  <c r="O9" i="5" s="1"/>
  <c r="E7" i="7" s="1"/>
  <c r="G19" i="5"/>
  <c r="K19" i="5" s="1"/>
  <c r="P19" i="5" s="1"/>
  <c r="F17" i="7" s="1"/>
  <c r="H17" i="5"/>
  <c r="J17" i="5" s="1"/>
  <c r="O17" i="5" s="1"/>
  <c r="E15" i="7" s="1"/>
  <c r="H195" i="6"/>
  <c r="H198" i="6" s="1"/>
  <c r="D5" i="10" s="1"/>
  <c r="D8" i="10" s="1"/>
  <c r="G24" i="5"/>
  <c r="K24" i="5" s="1"/>
  <c r="P24" i="5" s="1"/>
  <c r="F22" i="7" s="1"/>
  <c r="L16" i="5"/>
  <c r="H25" i="5"/>
  <c r="J25" i="5" s="1"/>
  <c r="O25" i="5" s="1"/>
  <c r="E23" i="7" s="1"/>
  <c r="H26" i="7"/>
  <c r="G21" i="5"/>
  <c r="K21" i="5" s="1"/>
  <c r="P21" i="5" s="1"/>
  <c r="F19" i="7" s="1"/>
  <c r="H12" i="5"/>
  <c r="J12" i="5" s="1"/>
  <c r="O12" i="5" s="1"/>
  <c r="E10" i="7" s="1"/>
  <c r="L14" i="5"/>
  <c r="H20" i="5"/>
  <c r="J20" i="5" s="1"/>
  <c r="O20" i="5" s="1"/>
  <c r="E18" i="7" s="1"/>
  <c r="K17" i="8"/>
  <c r="L6" i="8"/>
  <c r="G13" i="5"/>
  <c r="K13" i="5" s="1"/>
  <c r="P13" i="5" s="1"/>
  <c r="F11" i="7" s="1"/>
  <c r="L20" i="5"/>
  <c r="L22" i="5"/>
  <c r="L8" i="5"/>
  <c r="G25" i="5"/>
  <c r="K25" i="5" s="1"/>
  <c r="P25" i="5" s="1"/>
  <c r="F23" i="7" s="1"/>
  <c r="G12" i="5"/>
  <c r="K12" i="5" s="1"/>
  <c r="P12" i="5" s="1"/>
  <c r="F10" i="7" s="1"/>
  <c r="L6" i="5"/>
  <c r="L15" i="5"/>
  <c r="G23" i="5"/>
  <c r="K23" i="5" s="1"/>
  <c r="P23" i="5" s="1"/>
  <c r="F21" i="7" s="1"/>
  <c r="G20" i="5"/>
  <c r="K20" i="5" s="1"/>
  <c r="P20" i="5" s="1"/>
  <c r="F18" i="7" s="1"/>
  <c r="L24" i="5"/>
  <c r="E5" i="10" l="1"/>
  <c r="F5" i="10" s="1"/>
  <c r="J200" i="6"/>
  <c r="E4" i="7"/>
  <c r="E26" i="7" s="1"/>
  <c r="C4" i="10" s="1"/>
  <c r="C8" i="10" s="1"/>
  <c r="O27" i="5"/>
  <c r="O30" i="5" s="1"/>
  <c r="F4" i="7"/>
  <c r="F26" i="7" s="1"/>
  <c r="B4" i="10" s="1"/>
  <c r="B8" i="10" s="1"/>
  <c r="B10" i="10" s="1"/>
  <c r="P27" i="5"/>
  <c r="P30" i="5" s="1"/>
  <c r="M63" i="3"/>
  <c r="N63" i="3"/>
  <c r="N68" i="3" s="1"/>
  <c r="K19" i="8"/>
  <c r="L17" i="8"/>
  <c r="E6" i="10" l="1"/>
  <c r="F6" i="10" s="1"/>
  <c r="L19" i="8"/>
  <c r="M68" i="3"/>
  <c r="J65" i="3"/>
  <c r="F23" i="5" l="1"/>
  <c r="M23" i="5" s="1"/>
  <c r="N23" i="5" s="1"/>
  <c r="Q23" i="5" s="1"/>
  <c r="F15" i="5"/>
  <c r="M15" i="5" s="1"/>
  <c r="N15" i="5" s="1"/>
  <c r="Q15" i="5" s="1"/>
  <c r="F7" i="5"/>
  <c r="M7" i="5" s="1"/>
  <c r="N7" i="5" s="1"/>
  <c r="Q7" i="5" s="1"/>
  <c r="F20" i="5"/>
  <c r="M20" i="5" s="1"/>
  <c r="N20" i="5" s="1"/>
  <c r="Q20" i="5" s="1"/>
  <c r="F12" i="5"/>
  <c r="M12" i="5" s="1"/>
  <c r="N12" i="5" s="1"/>
  <c r="Q12" i="5" s="1"/>
  <c r="F25" i="5"/>
  <c r="M25" i="5" s="1"/>
  <c r="N25" i="5" s="1"/>
  <c r="Q25" i="5" s="1"/>
  <c r="F17" i="5"/>
  <c r="M17" i="5" s="1"/>
  <c r="N17" i="5" s="1"/>
  <c r="Q17" i="5" s="1"/>
  <c r="F9" i="5"/>
  <c r="M9" i="5" s="1"/>
  <c r="N9" i="5" s="1"/>
  <c r="Q9" i="5" s="1"/>
  <c r="F22" i="5"/>
  <c r="M22" i="5" s="1"/>
  <c r="N22" i="5" s="1"/>
  <c r="Q22" i="5" s="1"/>
  <c r="F14" i="5"/>
  <c r="M14" i="5" s="1"/>
  <c r="N14" i="5" s="1"/>
  <c r="Q14" i="5" s="1"/>
  <c r="F6" i="5"/>
  <c r="M6" i="5" s="1"/>
  <c r="N6" i="5" s="1"/>
  <c r="Q6" i="5" s="1"/>
  <c r="F19" i="5"/>
  <c r="M19" i="5" s="1"/>
  <c r="N19" i="5" s="1"/>
  <c r="Q19" i="5" s="1"/>
  <c r="F11" i="5"/>
  <c r="M11" i="5" s="1"/>
  <c r="N11" i="5" s="1"/>
  <c r="Q11" i="5" s="1"/>
  <c r="F24" i="5"/>
  <c r="M24" i="5" s="1"/>
  <c r="N24" i="5" s="1"/>
  <c r="Q24" i="5" s="1"/>
  <c r="F16" i="5"/>
  <c r="M16" i="5" s="1"/>
  <c r="N16" i="5" s="1"/>
  <c r="Q16" i="5" s="1"/>
  <c r="F8" i="5"/>
  <c r="M8" i="5" s="1"/>
  <c r="N8" i="5" s="1"/>
  <c r="Q8" i="5" s="1"/>
  <c r="F21" i="5"/>
  <c r="M21" i="5" s="1"/>
  <c r="N21" i="5" s="1"/>
  <c r="Q21" i="5" s="1"/>
  <c r="F13" i="5"/>
  <c r="M13" i="5" s="1"/>
  <c r="N13" i="5" s="1"/>
  <c r="Q13" i="5" s="1"/>
  <c r="F26" i="5"/>
  <c r="M26" i="5" s="1"/>
  <c r="N26" i="5" s="1"/>
  <c r="Q26" i="5" s="1"/>
  <c r="F18" i="5"/>
  <c r="M18" i="5" s="1"/>
  <c r="N18" i="5" s="1"/>
  <c r="Q18" i="5" s="1"/>
  <c r="F10" i="5"/>
  <c r="M10" i="5" s="1"/>
  <c r="N10" i="5" s="1"/>
  <c r="Q10" i="5" s="1"/>
  <c r="R13" i="5" l="1"/>
  <c r="G11" i="7"/>
  <c r="J11" i="7" s="1"/>
  <c r="K11" i="7" s="1"/>
  <c r="L11" i="7" s="1"/>
  <c r="R8" i="5"/>
  <c r="G6" i="7"/>
  <c r="J6" i="7" s="1"/>
  <c r="K6" i="7" s="1"/>
  <c r="L6" i="7" s="1"/>
  <c r="R11" i="5"/>
  <c r="G9" i="7"/>
  <c r="J9" i="7" s="1"/>
  <c r="K9" i="7" s="1"/>
  <c r="L9" i="7" s="1"/>
  <c r="R6" i="5"/>
  <c r="Q27" i="5"/>
  <c r="Q30" i="5" s="1"/>
  <c r="Q32" i="5" s="1"/>
  <c r="G4" i="7"/>
  <c r="G8" i="7"/>
  <c r="J8" i="7" s="1"/>
  <c r="K8" i="7" s="1"/>
  <c r="L8" i="7" s="1"/>
  <c r="R10" i="5"/>
  <c r="G7" i="7"/>
  <c r="J7" i="7" s="1"/>
  <c r="K7" i="7" s="1"/>
  <c r="L7" i="7" s="1"/>
  <c r="R9" i="5"/>
  <c r="G15" i="7"/>
  <c r="J15" i="7" s="1"/>
  <c r="K15" i="7" s="1"/>
  <c r="L15" i="7" s="1"/>
  <c r="R17" i="5"/>
  <c r="G23" i="7"/>
  <c r="J23" i="7" s="1"/>
  <c r="K23" i="7" s="1"/>
  <c r="L23" i="7" s="1"/>
  <c r="R25" i="5"/>
  <c r="G16" i="7"/>
  <c r="J16" i="7" s="1"/>
  <c r="K16" i="7" s="1"/>
  <c r="L16" i="7" s="1"/>
  <c r="R18" i="5"/>
  <c r="R24" i="5"/>
  <c r="G22" i="7"/>
  <c r="J22" i="7" s="1"/>
  <c r="K22" i="7" s="1"/>
  <c r="L22" i="7" s="1"/>
  <c r="R12" i="5"/>
  <c r="G10" i="7"/>
  <c r="J10" i="7" s="1"/>
  <c r="K10" i="7" s="1"/>
  <c r="L10" i="7" s="1"/>
  <c r="R19" i="5"/>
  <c r="G17" i="7"/>
  <c r="J17" i="7" s="1"/>
  <c r="K17" i="7" s="1"/>
  <c r="L17" i="7" s="1"/>
  <c r="R20" i="5"/>
  <c r="G18" i="7"/>
  <c r="J18" i="7" s="1"/>
  <c r="K18" i="7" s="1"/>
  <c r="L18" i="7" s="1"/>
  <c r="G24" i="7"/>
  <c r="J24" i="7" s="1"/>
  <c r="K24" i="7" s="1"/>
  <c r="L24" i="7" s="1"/>
  <c r="R26" i="5"/>
  <c r="R14" i="5"/>
  <c r="G12" i="7"/>
  <c r="J12" i="7" s="1"/>
  <c r="K12" i="7" s="1"/>
  <c r="L12" i="7" s="1"/>
  <c r="G5" i="7"/>
  <c r="J5" i="7" s="1"/>
  <c r="K5" i="7" s="1"/>
  <c r="L5" i="7" s="1"/>
  <c r="R7" i="5"/>
  <c r="R16" i="5"/>
  <c r="G14" i="7"/>
  <c r="J14" i="7" s="1"/>
  <c r="K14" i="7" s="1"/>
  <c r="L14" i="7" s="1"/>
  <c r="G13" i="7"/>
  <c r="J13" i="7" s="1"/>
  <c r="K13" i="7" s="1"/>
  <c r="L13" i="7" s="1"/>
  <c r="R15" i="5"/>
  <c r="R21" i="5"/>
  <c r="G19" i="7"/>
  <c r="J19" i="7" s="1"/>
  <c r="K19" i="7" s="1"/>
  <c r="L19" i="7" s="1"/>
  <c r="R22" i="5"/>
  <c r="G20" i="7"/>
  <c r="J20" i="7" s="1"/>
  <c r="K20" i="7" s="1"/>
  <c r="L20" i="7" s="1"/>
  <c r="G21" i="7"/>
  <c r="J21" i="7" s="1"/>
  <c r="K21" i="7" s="1"/>
  <c r="L21" i="7" s="1"/>
  <c r="R23" i="5"/>
  <c r="G26" i="7" l="1"/>
  <c r="E4" i="10" s="1"/>
  <c r="J4" i="7"/>
  <c r="R27" i="5"/>
  <c r="R30" i="5" s="1"/>
  <c r="R32" i="5" s="1"/>
  <c r="J26" i="7" l="1"/>
  <c r="K4" i="7"/>
  <c r="E8" i="10"/>
  <c r="F8" i="10" s="1"/>
  <c r="F4" i="10"/>
  <c r="K26" i="7" l="1"/>
  <c r="L4" i="7"/>
  <c r="L26" i="7" s="1"/>
</calcChain>
</file>

<file path=xl/sharedStrings.xml><?xml version="1.0" encoding="utf-8"?>
<sst xmlns="http://schemas.openxmlformats.org/spreadsheetml/2006/main" count="1370" uniqueCount="449">
  <si>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</si>
  <si>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</si>
  <si>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</si>
  <si>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</si>
  <si>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</si>
  <si>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</si>
  <si>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</si>
  <si>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</si>
  <si>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</si>
  <si>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255J</t>
  </si>
  <si>
    <t>240J</t>
  </si>
  <si>
    <t>5W</t>
  </si>
  <si>
    <t>210J</t>
  </si>
  <si>
    <t>200J</t>
  </si>
  <si>
    <t>4W</t>
  </si>
  <si>
    <t>144J</t>
  </si>
  <si>
    <t>3W</t>
  </si>
  <si>
    <t>126J</t>
  </si>
  <si>
    <t>102J</t>
  </si>
  <si>
    <t>96J</t>
  </si>
  <si>
    <t>2W</t>
  </si>
  <si>
    <t>84J</t>
  </si>
  <si>
    <t>80J</t>
  </si>
  <si>
    <t>1W</t>
  </si>
  <si>
    <t>42J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</si>
  <si>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</si>
  <si>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</si>
  <si>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</si>
  <si>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</si>
  <si>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</si>
  <si>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</si>
  <si>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</si>
  <si>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</si>
  <si>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</si>
  <si>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</si>
  <si>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</si>
  <si>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</si>
  <si>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</si>
  <si>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</si>
  <si>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</si>
  <si>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</si>
  <si>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</si>
  <si>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BB</t>
  </si>
  <si>
    <t xml:space="preserve">B    </t>
  </si>
  <si>
    <t>Kantoorruimten basis</t>
  </si>
  <si>
    <t>m²/uur</t>
  </si>
  <si>
    <t>OB</t>
  </si>
  <si>
    <t>Overleg/spreek/vergaderruimte basis</t>
  </si>
  <si>
    <t>LCB</t>
  </si>
  <si>
    <t>Computerlokalen/OLC basis</t>
  </si>
  <si>
    <t>LCV</t>
  </si>
  <si>
    <t>Computerlokalen/OLC volledig</t>
  </si>
  <si>
    <t>LTB</t>
  </si>
  <si>
    <t>Theorielokalen basis</t>
  </si>
  <si>
    <t>LTV</t>
  </si>
  <si>
    <t>Theorielokalen volledig</t>
  </si>
  <si>
    <t>BV</t>
  </si>
  <si>
    <t>Kantoorruimten volledig</t>
  </si>
  <si>
    <t>OV</t>
  </si>
  <si>
    <t>Overleg/spreek/vergaderruimte volledig</t>
  </si>
  <si>
    <t>PAB</t>
  </si>
  <si>
    <t xml:space="preserve">PA   </t>
  </si>
  <si>
    <t>Praktijklokalen techniek basis</t>
  </si>
  <si>
    <t>PAV</t>
  </si>
  <si>
    <t>Praktijklokalen techniek volledig</t>
  </si>
  <si>
    <t>PBB</t>
  </si>
  <si>
    <t>Praktijklokalen natuur/scheikunde basis</t>
  </si>
  <si>
    <t>PBV</t>
  </si>
  <si>
    <t>Praktijklokalen natuur/scheik volledig</t>
  </si>
  <si>
    <t>PCB</t>
  </si>
  <si>
    <t>Praktijklokalen uitgebreid basis</t>
  </si>
  <si>
    <t>PCV</t>
  </si>
  <si>
    <t>Praktijklokalen uitgebreid volledig</t>
  </si>
  <si>
    <t>PDB</t>
  </si>
  <si>
    <t>Praktijklokalen specialistisch basis</t>
  </si>
  <si>
    <t>PDV</t>
  </si>
  <si>
    <t>Praktijklokalen specialistisch volledig</t>
  </si>
  <si>
    <t>DB</t>
  </si>
  <si>
    <t xml:space="preserve">S    </t>
  </si>
  <si>
    <t>Douche/Kleedruimten basis</t>
  </si>
  <si>
    <t>SB</t>
  </si>
  <si>
    <t>Sanitair basis</t>
  </si>
  <si>
    <t>DV</t>
  </si>
  <si>
    <t>Douche/Kleedruimten volledig</t>
  </si>
  <si>
    <t>SV</t>
  </si>
  <si>
    <t>Sanitair volledig</t>
  </si>
  <si>
    <t>AB</t>
  </si>
  <si>
    <t xml:space="preserve">V    </t>
  </si>
  <si>
    <t>Aula/pauzeruimten basis</t>
  </si>
  <si>
    <t>EB</t>
  </si>
  <si>
    <t>Entree basis</t>
  </si>
  <si>
    <t>FB</t>
  </si>
  <si>
    <t>Lift basis</t>
  </si>
  <si>
    <t>GB</t>
  </si>
  <si>
    <t>Sportruimten basis</t>
  </si>
  <si>
    <t>KB</t>
  </si>
  <si>
    <t>Keuken/pantry basis</t>
  </si>
  <si>
    <t>RB</t>
  </si>
  <si>
    <t>Receptie/ontvangst basis</t>
  </si>
  <si>
    <t>TB</t>
  </si>
  <si>
    <t>Trappenhuis basis</t>
  </si>
  <si>
    <t>VB</t>
  </si>
  <si>
    <t>Verkeersruimten/garderobe/repro basis</t>
  </si>
  <si>
    <t>AV</t>
  </si>
  <si>
    <t>Aula/pauzeruimten volledig</t>
  </si>
  <si>
    <t>EV</t>
  </si>
  <si>
    <t>Entree volledig</t>
  </si>
  <si>
    <t>FV</t>
  </si>
  <si>
    <t>Lift volledig</t>
  </si>
  <si>
    <t>GV</t>
  </si>
  <si>
    <t>Sportruimten volledig</t>
  </si>
  <si>
    <t>KV</t>
  </si>
  <si>
    <t>Keuken/pantry volledig</t>
  </si>
  <si>
    <t>RV</t>
  </si>
  <si>
    <t>Receptie/ontvangst volledig</t>
  </si>
  <si>
    <t>TV</t>
  </si>
  <si>
    <t>Trappenhuis volledig</t>
  </si>
  <si>
    <t>VV</t>
  </si>
  <si>
    <t>Verkeersruimten/garderobe/repro volledig</t>
  </si>
  <si>
    <t>Verkeersruimte/garderobe/repro volledig</t>
  </si>
  <si>
    <t>Verkeersruimte/garedrobe/repro volledig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</si>
  <si>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</si>
  <si>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</si>
  <si>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</si>
  <si>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</si>
  <si>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</si>
  <si>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</si>
  <si>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</si>
  <si>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</si>
  <si>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A5</t>
  </si>
  <si>
    <t>interieur</t>
  </si>
  <si>
    <t>Aula/pauzeruimten</t>
  </si>
  <si>
    <t>B2</t>
  </si>
  <si>
    <t>Kantoorruimten</t>
  </si>
  <si>
    <t>B5</t>
  </si>
  <si>
    <t>D5</t>
  </si>
  <si>
    <t>Douche/kleedruimten</t>
  </si>
  <si>
    <t>E5</t>
  </si>
  <si>
    <t>Entree</t>
  </si>
  <si>
    <t>F5</t>
  </si>
  <si>
    <t>Lift</t>
  </si>
  <si>
    <t>G5</t>
  </si>
  <si>
    <t>Gymzaal/sportruimten</t>
  </si>
  <si>
    <t>K5</t>
  </si>
  <si>
    <t>Keuken/pantry</t>
  </si>
  <si>
    <t>LC3</t>
  </si>
  <si>
    <t>Computerlokalen/OLC</t>
  </si>
  <si>
    <t>LC5</t>
  </si>
  <si>
    <t>LT1</t>
  </si>
  <si>
    <t>Theorielokalen</t>
  </si>
  <si>
    <t>LT3</t>
  </si>
  <si>
    <t>LT5</t>
  </si>
  <si>
    <t>O2</t>
  </si>
  <si>
    <t>Overleg/spreek/vergaderruimte</t>
  </si>
  <si>
    <t>O5</t>
  </si>
  <si>
    <t>PA3</t>
  </si>
  <si>
    <t>Praktijklokalen techniek</t>
  </si>
  <si>
    <t>PA5</t>
  </si>
  <si>
    <t>Praktijklokalen</t>
  </si>
  <si>
    <t>PB3</t>
  </si>
  <si>
    <t>Praktijklokalen natuur/scheikunde</t>
  </si>
  <si>
    <t>PC3</t>
  </si>
  <si>
    <t>Praktijklokalen uitgebreid</t>
  </si>
  <si>
    <t>PC5</t>
  </si>
  <si>
    <t>PD5</t>
  </si>
  <si>
    <t>Praktijklokalen specialistisch</t>
  </si>
  <si>
    <t>R5</t>
  </si>
  <si>
    <t>Receptie/ontvangstruimten</t>
  </si>
  <si>
    <t>S5</t>
  </si>
  <si>
    <t>Sanitaire ruimten</t>
  </si>
  <si>
    <t>S5N</t>
  </si>
  <si>
    <t>Sanitaire ruimten naloop</t>
  </si>
  <si>
    <t>T1</t>
  </si>
  <si>
    <t>Trappenhuizen</t>
  </si>
  <si>
    <t>T5</t>
  </si>
  <si>
    <t>V1</t>
  </si>
  <si>
    <t>Verkeersruimten/garderobe/repro</t>
  </si>
  <si>
    <t>V5</t>
  </si>
  <si>
    <t>X03</t>
  </si>
  <si>
    <t>extra</t>
  </si>
  <si>
    <t>Extra tijd kantine Sterrenlaan 6</t>
  </si>
  <si>
    <t>uur</t>
  </si>
  <si>
    <t>X05</t>
  </si>
  <si>
    <t>Keukenblok</t>
  </si>
  <si>
    <t>min./stuk</t>
  </si>
  <si>
    <t>X06</t>
  </si>
  <si>
    <t>Koelkast</t>
  </si>
  <si>
    <t>X07</t>
  </si>
  <si>
    <t>Magnetron</t>
  </si>
  <si>
    <t>X08</t>
  </si>
  <si>
    <t>Oven</t>
  </si>
  <si>
    <t>X10</t>
  </si>
  <si>
    <t>Tosti apparaat</t>
  </si>
  <si>
    <t>X12</t>
  </si>
  <si>
    <t>Geheel stofzuigen</t>
  </si>
  <si>
    <t>X13</t>
  </si>
  <si>
    <t>Facility Host</t>
  </si>
  <si>
    <t>X14</t>
  </si>
  <si>
    <t>Vloer geheel schrobben/waterzuigen</t>
  </si>
  <si>
    <t>X16</t>
  </si>
  <si>
    <t>Hoog stofwerk</t>
  </si>
  <si>
    <t>X21</t>
  </si>
  <si>
    <t>Praktijklokalen schrobben</t>
  </si>
  <si>
    <t>X24</t>
  </si>
  <si>
    <t>Afvalbakken legen/zak verwisselen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</si>
  <si>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</si>
  <si>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</si>
  <si>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</si>
  <si>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</si>
  <si>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</si>
  <si>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</si>
  <si>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</si>
  <si>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</si>
  <si>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</si>
  <si>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</si>
  <si>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001</t>
  </si>
  <si>
    <t xml:space="preserve">     006</t>
  </si>
  <si>
    <t xml:space="preserve">     011</t>
  </si>
  <si>
    <t xml:space="preserve">     012</t>
  </si>
  <si>
    <t xml:space="preserve">     013</t>
  </si>
  <si>
    <t xml:space="preserve">     014</t>
  </si>
  <si>
    <t xml:space="preserve">     018</t>
  </si>
  <si>
    <t xml:space="preserve">     019</t>
  </si>
  <si>
    <t xml:space="preserve">     023</t>
  </si>
  <si>
    <t xml:space="preserve">     024</t>
  </si>
  <si>
    <t xml:space="preserve">     025</t>
  </si>
  <si>
    <t xml:space="preserve">     028</t>
  </si>
  <si>
    <t xml:space="preserve">     030</t>
  </si>
  <si>
    <t xml:space="preserve">     033</t>
  </si>
  <si>
    <t xml:space="preserve">     034</t>
  </si>
  <si>
    <t xml:space="preserve">     035</t>
  </si>
  <si>
    <t xml:space="preserve">     036</t>
  </si>
  <si>
    <t xml:space="preserve">     037</t>
  </si>
  <si>
    <t xml:space="preserve">     039</t>
  </si>
  <si>
    <t xml:space="preserve">     040</t>
  </si>
  <si>
    <t xml:space="preserve">     041</t>
  </si>
  <si>
    <t>werkdag</t>
  </si>
  <si>
    <t>OBJECT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</si>
  <si>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</si>
  <si>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</si>
  <si>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</si>
  <si>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</si>
  <si>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</si>
  <si>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</si>
  <si>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</si>
  <si>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</si>
  <si>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</si>
  <si>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</si>
  <si>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</si>
  <si>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</si>
  <si>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</si>
  <si>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</si>
  <si>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</si>
  <si>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001</t>
  </si>
  <si>
    <t>Summa College - De Run</t>
  </si>
  <si>
    <t>De Run 4250</t>
  </si>
  <si>
    <t>Veldhoven</t>
  </si>
  <si>
    <t>006</t>
  </si>
  <si>
    <t>Summa College - Habsburglaan</t>
  </si>
  <si>
    <t>Habsburglaan 1</t>
  </si>
  <si>
    <t>Eindhoven</t>
  </si>
  <si>
    <t>011</t>
  </si>
  <si>
    <t>Summa College - Sterrenlaan 4</t>
  </si>
  <si>
    <t>Sterrenlaan 4</t>
  </si>
  <si>
    <t>012</t>
  </si>
  <si>
    <t>Summa College - Sterrenlaan 6</t>
  </si>
  <si>
    <t>Sterrenlaan 6</t>
  </si>
  <si>
    <t>013</t>
  </si>
  <si>
    <t>Summa College - Sterrenlaan 8</t>
  </si>
  <si>
    <t>Sterrenlaan 8</t>
  </si>
  <si>
    <t>014</t>
  </si>
  <si>
    <t>Summa College - Sterrenlaan 10</t>
  </si>
  <si>
    <t>Sterrenlaan 10</t>
  </si>
  <si>
    <t>018</t>
  </si>
  <si>
    <t>Summa College - Vijfkamplaan</t>
  </si>
  <si>
    <t>Vijfkamplaan 4</t>
  </si>
  <si>
    <t>019</t>
  </si>
  <si>
    <t>Summa College - Willen de Rijkelaan</t>
  </si>
  <si>
    <t>Willem de Rijkelaan 3</t>
  </si>
  <si>
    <t>023</t>
  </si>
  <si>
    <t>Summa College - Limburglaan</t>
  </si>
  <si>
    <t>Limburglaan 43, Vavo Limburglaan 41</t>
  </si>
  <si>
    <t>024</t>
  </si>
  <si>
    <t>Summa College - De Tijvert</t>
  </si>
  <si>
    <t>De Tijvert 2</t>
  </si>
  <si>
    <t>Boxtel</t>
  </si>
  <si>
    <t>025</t>
  </si>
  <si>
    <t>Summa College - Kronehoefstraat</t>
  </si>
  <si>
    <t>Kronehoefstraat 76</t>
  </si>
  <si>
    <t>028</t>
  </si>
  <si>
    <t>Summa College - De Blécourtstraat</t>
  </si>
  <si>
    <t>De Blécourtstraat 1</t>
  </si>
  <si>
    <t>030</t>
  </si>
  <si>
    <t>Summa College Automotive</t>
  </si>
  <si>
    <t>Croy 49</t>
  </si>
  <si>
    <t>033</t>
  </si>
  <si>
    <t>Summa College - Furkapas 1</t>
  </si>
  <si>
    <t>Furkapas 1</t>
  </si>
  <si>
    <t>034</t>
  </si>
  <si>
    <t>Summa College - Vestdijk</t>
  </si>
  <si>
    <t>Vestdijk 30</t>
  </si>
  <si>
    <t>035</t>
  </si>
  <si>
    <t>Summa College gebouw 55 (S2)</t>
  </si>
  <si>
    <t>Het Eeuwsel 2</t>
  </si>
  <si>
    <t>036</t>
  </si>
  <si>
    <t>Summa College - Ruysdaelbaan</t>
  </si>
  <si>
    <t>Ruysdaelbaan 7</t>
  </si>
  <si>
    <t>037</t>
  </si>
  <si>
    <t>Summa College - Furkapas 4</t>
  </si>
  <si>
    <t>Furkapas 4</t>
  </si>
  <si>
    <t>039</t>
  </si>
  <si>
    <t>Summa College tijdelijke huisvesting</t>
  </si>
  <si>
    <t>Habsburglaan_limburglaan</t>
  </si>
  <si>
    <t>040</t>
  </si>
  <si>
    <t>Summa College - Luchthavenweg</t>
  </si>
  <si>
    <t>Luchthavenweg 21</t>
  </si>
  <si>
    <t>041</t>
  </si>
  <si>
    <t>Summa Automotive - 250</t>
  </si>
  <si>
    <t>Automotive campus 250</t>
  </si>
  <si>
    <t>Helmond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</si>
  <si>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</si>
  <si>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</si>
  <si>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</si>
  <si>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</si>
  <si>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</si>
  <si>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</si>
  <si>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</si>
  <si>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</si>
  <si>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</si>
  <si>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</si>
  <si>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</si>
  <si>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001 - Summa College - De Run, De Run 4250, Veldhoven</t>
  </si>
  <si>
    <t>9050</t>
  </si>
  <si>
    <t>Objectleiding</t>
  </si>
  <si>
    <t>&lt;invullen functie afh. van uren uitvoering per jaar&gt;</t>
  </si>
  <si>
    <t>&lt;invullen functie met vaste uren per dag&gt;</t>
  </si>
  <si>
    <t>Totaal 001 - Summa College - De Run, De Run 4250, Veldhoven</t>
  </si>
  <si>
    <t>006 - Summa College - Habsburglaan, Habsburglaan 1, Eindhoven</t>
  </si>
  <si>
    <t>Totaal 006 - Summa College - Habsburglaan, Habsburglaan 1, Eindhoven</t>
  </si>
  <si>
    <t>011 - Summa College - Sterrenlaan 4, Sterrenlaan 4, Eindhoven</t>
  </si>
  <si>
    <t>Totaal 011 - Summa College - Sterrenlaan 4, Sterrenlaan 4, Eindhoven</t>
  </si>
  <si>
    <t>012 - Summa College - Sterrenlaan 6, Sterrenlaan 6, Eindhoven</t>
  </si>
  <si>
    <t>Totaal 012 - Summa College - Sterrenlaan 6, Sterrenlaan 6, Eindhoven</t>
  </si>
  <si>
    <t>013 - Summa College - Sterrenlaan 8, Sterrenlaan 8, Eindhoven</t>
  </si>
  <si>
    <t>Totaal 013 - Summa College - Sterrenlaan 8, Sterrenlaan 8, Eindhoven</t>
  </si>
  <si>
    <t>014 - Summa College - Sterrenlaan 10, Sterrenlaan 10, Eindhoven</t>
  </si>
  <si>
    <t>Totaal 014 - Summa College - Sterrenlaan 10, Sterrenlaan 10, Eindhoven</t>
  </si>
  <si>
    <t>018 - Summa College - Vijfkamplaan, Vijfkamplaan 4, Eindhoven</t>
  </si>
  <si>
    <t>Totaal 018 - Summa College - Vijfkamplaan, Vijfkamplaan 4, Eindhoven</t>
  </si>
  <si>
    <t>019 - Summa College - Willen de Rijkelaan, Willem de Rijkelaan 3, Eindhoven</t>
  </si>
  <si>
    <t>Totaal 019 - Summa College - Willen de Rijkelaan, Willem de Rijkelaan 3, Eindhoven</t>
  </si>
  <si>
    <t>023 - Summa College - Limburglaan, Limburglaan 43, Vavo Limburglaan 41, Eindhoven</t>
  </si>
  <si>
    <t>Totaal 023 - Summa College - Limburglaan, Limburglaan 43, Vavo Limburglaan 41, Eindhoven</t>
  </si>
  <si>
    <t>024 - Summa College - De Tijvert, De Tijvert 2, Boxtel</t>
  </si>
  <si>
    <t>Totaal 024 - Summa College - De Tijvert, De Tijvert 2, Boxtel</t>
  </si>
  <si>
    <t>025 - Summa College - Kronehoefstraat, Kronehoefstraat 76, Eindhoven</t>
  </si>
  <si>
    <t>Totaal 025 - Summa College - Kronehoefstraat, Kronehoefstraat 76, Eindhoven</t>
  </si>
  <si>
    <t>028 - Summa College - De Blécourtstraat, De Blécourtstraat 1, Eindhoven</t>
  </si>
  <si>
    <t>Totaal 028 - Summa College - De Blécourtstraat, De Blécourtstraat 1, Eindhoven</t>
  </si>
  <si>
    <t>030 - Summa College Automotive, Croy 49, Eindhoven</t>
  </si>
  <si>
    <t>Totaal 030 - Summa College Automotive, Croy 49, Eindhoven</t>
  </si>
  <si>
    <t>033 - Summa College - Furkapas 1, Furkapas 1, Eindhoven</t>
  </si>
  <si>
    <t>Totaal 033 - Summa College - Furkapas 1, Furkapas 1, Eindhoven</t>
  </si>
  <si>
    <t>034 - Summa College - Vestdijk, Vestdijk 30, Eindhoven</t>
  </si>
  <si>
    <t>Totaal 034 - Summa College - Vestdijk, Vestdijk 30, Eindhoven</t>
  </si>
  <si>
    <t>035 - Summa College gebouw 55 (S2), Het Eeuwsel 2, Eindhoven</t>
  </si>
  <si>
    <t>Totaal 035 - Summa College gebouw 55 (S2), Het Eeuwsel 2, Eindhoven</t>
  </si>
  <si>
    <t>036 - Summa College - Ruysdaelbaan, Ruysdaelbaan 7, Eindhoven</t>
  </si>
  <si>
    <t>Totaal 036 - Summa College - Ruysdaelbaan, Ruysdaelbaan 7, Eindhoven</t>
  </si>
  <si>
    <t>037 - Summa College - Furkapas 4, Furkapas 4, Eindhoven</t>
  </si>
  <si>
    <t>Totaal 037 - Summa College - Furkapas 4, Furkapas 4, Eindhoven</t>
  </si>
  <si>
    <t>039 - Summa College tijdelijke huisvesting, Habsburglaan_limburglaan</t>
  </si>
  <si>
    <t xml:space="preserve">Totaal 039 - Summa College tijdelijke huisvesting, Habsburglaan_limburglaan, </t>
  </si>
  <si>
    <t>040 - Summa College - Luchthavenweg, Luchthavenweg 21, Eindhoven</t>
  </si>
  <si>
    <t>Totaal 040 - Summa College - Luchthavenweg, Luchthavenweg 21, Eindhoven</t>
  </si>
  <si>
    <t>041 - Summa Automotive - 250, Automotive campus 250, Helmond</t>
  </si>
  <si>
    <t>Totaal 041 - Summa Automotive - 250, Automotive campus 250, Helmond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</si>
  <si>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</si>
  <si>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</si>
  <si>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</si>
  <si>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</si>
  <si>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</si>
  <si>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</si>
  <si>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</si>
  <si>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</si>
  <si>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</si>
  <si>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</si>
  <si>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</si>
  <si>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</si>
  <si>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</si>
  <si>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</si>
  <si>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</si>
  <si>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</si>
  <si>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3100A</t>
  </si>
  <si>
    <t>Vloer schrobben/waterzuigen &lt; 500 m²</t>
  </si>
  <si>
    <t>prijs per m²</t>
  </si>
  <si>
    <t>3100C</t>
  </si>
  <si>
    <t>Vloer schrobben/waterzuigen 500 &lt; 2000 m²</t>
  </si>
  <si>
    <t>3100D</t>
  </si>
  <si>
    <t>Vloer schrobben/waterzuigen &gt;= 2000 m²</t>
  </si>
  <si>
    <t>3140A</t>
  </si>
  <si>
    <t>Linoleum vloeren strippen/conserveren incl. uit/inruimen &lt; 500 m²</t>
  </si>
  <si>
    <t>3140C</t>
  </si>
  <si>
    <t>Linoleum vloeren strippen/conserveren incl. uit/inruimen 500 &lt; 2000 m²</t>
  </si>
  <si>
    <t>3140D</t>
  </si>
  <si>
    <t>Linoleum vloeren strippen/conserveren incl. uit/inruimen &gt;= 2000 m²</t>
  </si>
  <si>
    <t>4020A</t>
  </si>
  <si>
    <t>Linoleum sprayen /opwrijven &lt; 500 m²</t>
  </si>
  <si>
    <t>4020B</t>
  </si>
  <si>
    <t>Linoleum sprayen /opwrijven 500 &lt; 2000 m²</t>
  </si>
  <si>
    <t>4020C</t>
  </si>
  <si>
    <t>Linoleum sprayen /opwrijven &gt;= 2000 m²</t>
  </si>
  <si>
    <t>9000</t>
  </si>
  <si>
    <t>Medewerker regiewerkzaamheden</t>
  </si>
  <si>
    <t>prijs per uur</t>
  </si>
  <si>
    <t>9100</t>
  </si>
  <si>
    <t>Medewerker specialistische werkzaamheden</t>
  </si>
  <si>
    <t>Totaal afroep excl. BTW</t>
  </si>
  <si>
    <t>STAFFEL</t>
  </si>
  <si>
    <t>3150B</t>
  </si>
  <si>
    <t>Tapijt reinigen sproei/extractie methode</t>
  </si>
  <si>
    <t>&lt; 500 m²</t>
  </si>
  <si>
    <t>3150C</t>
  </si>
  <si>
    <t>500 &lt; 2000 m²</t>
  </si>
  <si>
    <t>3150D</t>
  </si>
  <si>
    <t>&gt;= 2000 m²</t>
  </si>
  <si>
    <t>3160A</t>
  </si>
  <si>
    <t>Tapijt reinigen droge methode (Host)</t>
  </si>
  <si>
    <t>3160B</t>
  </si>
  <si>
    <t>3160D</t>
  </si>
  <si>
    <t>3170A</t>
  </si>
  <si>
    <t>Tapijt reinigen op koolzuur basis</t>
  </si>
  <si>
    <t>3170B</t>
  </si>
  <si>
    <t>3170D</t>
  </si>
  <si>
    <t>3190A</t>
  </si>
  <si>
    <t>Sanitair vloer reinigen d.m.v. "stomen"</t>
  </si>
  <si>
    <t>3190B</t>
  </si>
  <si>
    <t>3190D</t>
  </si>
  <si>
    <t>Totaal afroep incidenteel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</si>
  <si>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</si>
  <si>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</si>
  <si>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</si>
  <si>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</si>
  <si>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</si>
  <si>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</si>
  <si>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</si>
  <si>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Afroepwerk (geschatte frequenties)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</si>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</sst>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1B27-04BD-4B29-A6F6-91FE62A8F29A}">
  <dimension ref="A1:B36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210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1.2142857142857142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1.1428571428571428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1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1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0.95238095238095233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0.8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0.68571428571428572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0.6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0.6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0.48571428571428571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0.45714285714285713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0.4</v>
      </c>
    </row>
    <row r="25" spans="1:2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0.4</v>
      </c>
    </row>
    <row r="26" spans="1:2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0.38095238095238093</v>
      </c>
    </row>
    <row r="27" spans="1:2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0.2</v>
      </c>
    </row>
    <row r="28" spans="1:2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0.2</v>
      </c>
    </row>
    <row r="29" spans="1:2" x14ac:dyDescent="0.2">
      <c r="A29" s="2" t="s">
        <v>25</v>
      </c>
      <c r="B29" s="3">
        <f>IF(A29="2½W",2.5/dagenperweek1,IF(RIGHT(A29,1)="W",VALUE(LEFT(A29,LEN(A29)-1))/dagenperweek1,IF(RIGHT(A29,1)="J",VALUE(LEFT(A29,LEN(A29)-1))/dagenperjaar1,"handmatig!")))</f>
        <v>0.12380952380952381</v>
      </c>
    </row>
    <row r="30" spans="1:2" x14ac:dyDescent="0.2">
      <c r="A30" s="2" t="s">
        <v>26</v>
      </c>
      <c r="B30" s="3">
        <f>IF(A30="2½W",2.5/dagenperweek1,IF(RIGHT(A30,1)="W",VALUE(LEFT(A30,LEN(A30)-1))/dagenperweek1,IF(RIGHT(A30,1)="J",VALUE(LEFT(A30,LEN(A30)-1))/dagenperjaar1,"handmatig!")))</f>
        <v>5.7142857142857141E-2</v>
      </c>
    </row>
    <row r="31" spans="1:2" x14ac:dyDescent="0.2">
      <c r="A31" s="2" t="s">
        <v>27</v>
      </c>
      <c r="B31" s="3">
        <f>IF(A31="2½W",2.5/dagenperweek1,IF(RIGHT(A31,1)="W",VALUE(LEFT(A31,LEN(A31)-1))/dagenperweek1,IF(RIGHT(A31,1)="J",VALUE(LEFT(A31,LEN(A31)-1))/dagenperjaar1,"handmatig!")))</f>
        <v>4.7619047619047616E-2</v>
      </c>
    </row>
    <row r="32" spans="1:2" x14ac:dyDescent="0.2">
      <c r="A32" s="2" t="s">
        <v>28</v>
      </c>
      <c r="B32" s="3">
        <f>IF(A32="2½W",2.5/dagenperweek1,IF(RIGHT(A32,1)="W",VALUE(LEFT(A32,LEN(A32)-1))/dagenperweek1,IF(RIGHT(A32,1)="J",VALUE(LEFT(A32,LEN(A32)-1))/dagenperjaar1,"handmatig!")))</f>
        <v>2.8571428571428571E-2</v>
      </c>
    </row>
    <row r="33" spans="1:2" x14ac:dyDescent="0.2">
      <c r="A33" s="2" t="s">
        <v>29</v>
      </c>
      <c r="B33" s="3">
        <f>IF(A33="2½W",2.5/dagenperweek1,IF(RIGHT(A33,1)="W",VALUE(LEFT(A33,LEN(A33)-1))/dagenperweek1,IF(RIGHT(A33,1)="J",VALUE(LEFT(A33,LEN(A33)-1))/dagenperjaar1,"handmatig!")))</f>
        <v>1.9047619047619049E-2</v>
      </c>
    </row>
    <row r="34" spans="1:2" x14ac:dyDescent="0.2">
      <c r="A34" s="2" t="s">
        <v>30</v>
      </c>
      <c r="B34" s="3">
        <f>IF(A34="2½W",2.5/dagenperweek1,IF(RIGHT(A34,1)="W",VALUE(LEFT(A34,LEN(A34)-1))/dagenperweek1,IF(RIGHT(A34,1)="J",VALUE(LEFT(A34,LEN(A34)-1))/dagenperjaar1,"handmatig!")))</f>
        <v>1.4285714285714285E-2</v>
      </c>
    </row>
    <row r="35" spans="1:2" x14ac:dyDescent="0.2">
      <c r="A35" s="2" t="s">
        <v>31</v>
      </c>
      <c r="B35" s="3">
        <f>IF(A35="2½W",2.5/dagenperweek1,IF(RIGHT(A35,1)="W",VALUE(LEFT(A35,LEN(A35)-1))/dagenperweek1,IF(RIGHT(A35,1)="J",VALUE(LEFT(A35,LEN(A35)-1))/dagenperjaar1,"handmatig!")))</f>
        <v>9.5238095238095247E-3</v>
      </c>
    </row>
    <row r="36" spans="1:2" x14ac:dyDescent="0.2">
      <c r="A36" s="6" t="s">
        <v>32</v>
      </c>
      <c r="B36" s="7">
        <f>IF(A36="2½W",2.5/dagenperweek1,IF(RIGHT(A36,1)="W",VALUE(LEFT(A36,LEN(A36)-1))/dagenperweek1,IF(RIGHT(A36,1)="J",VALUE(LEFT(A36,LEN(A36)-1))/dagenperjaar1,"handmatig!")))</f>
        <v>4.7619047619047623E-3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7AFC0-B107-462C-A3EC-12B5640596DD}">
  <dimension ref="A1:F10"/>
  <sheetViews>
    <sheetView workbookViewId="0">
      <selection activeCell="B26" sqref="B26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I.8: ",tabeltype," totaalblad schoonmaakwerk")</f>
        <v>Bijlage I.8: Invultabel totaalblad schoonmaakwerk</v>
      </c>
    </row>
    <row r="3" spans="1:6" ht="25.5" x14ac:dyDescent="0.2">
      <c r="A3" s="8" t="s">
        <v>439</v>
      </c>
      <c r="B3" s="8" t="s">
        <v>440</v>
      </c>
      <c r="C3" s="8" t="s">
        <v>441</v>
      </c>
      <c r="D3" s="8" t="s">
        <v>442</v>
      </c>
      <c r="E3" s="8" t="s">
        <v>443</v>
      </c>
      <c r="F3" s="8" t="s">
        <v>444</v>
      </c>
    </row>
    <row r="4" spans="1:6" x14ac:dyDescent="0.2">
      <c r="A4" s="84" t="s">
        <v>445</v>
      </c>
      <c r="B4" s="30">
        <f>urenjaartotaaloverzicht</f>
        <v>869.3</v>
      </c>
      <c r="C4" s="30">
        <f>urenjaartotaaloverzichthf</f>
        <v>0</v>
      </c>
      <c r="D4" s="67"/>
      <c r="E4" s="33">
        <f>prijsjaartotaaloverzicht</f>
        <v>0</v>
      </c>
      <c r="F4" s="33">
        <f>E4*1.21</f>
        <v>0</v>
      </c>
    </row>
    <row r="5" spans="1:6" x14ac:dyDescent="0.2">
      <c r="A5" s="85" t="s">
        <v>333</v>
      </c>
      <c r="B5" s="70"/>
      <c r="C5" s="70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86" t="s">
        <v>446</v>
      </c>
      <c r="B6" s="87"/>
      <c r="C6" s="87"/>
      <c r="D6" s="87"/>
      <c r="E6" s="41">
        <f>prijsjaarafroep</f>
        <v>0</v>
      </c>
      <c r="F6" s="41">
        <f>E6*1.21</f>
        <v>0</v>
      </c>
    </row>
    <row r="8" spans="1:6" x14ac:dyDescent="0.2">
      <c r="A8" s="8" t="s">
        <v>447</v>
      </c>
      <c r="B8" s="44">
        <f>SUM(B4:B6)</f>
        <v>869.3</v>
      </c>
      <c r="C8" s="44">
        <f>SUM(C4:C6)</f>
        <v>0</v>
      </c>
      <c r="D8" s="44">
        <f>SUM(D4:D6)</f>
        <v>0</v>
      </c>
      <c r="E8" s="45">
        <f>SUM(E4:E6)</f>
        <v>0</v>
      </c>
      <c r="F8" s="45">
        <f>E8*1.21</f>
        <v>0</v>
      </c>
    </row>
    <row r="10" spans="1:6" x14ac:dyDescent="0.2">
      <c r="A10" s="8" t="s">
        <v>448</v>
      </c>
      <c r="B10" s="88">
        <f>IF(B8&gt;0,D8/B8,0)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779E-9E6A-47C2-B5DF-E387965EFE44}">
  <dimension ref="A1:H53"/>
  <sheetViews>
    <sheetView tabSelected="1" workbookViewId="0">
      <selection activeCell="D23" sqref="D23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I.1: ",tabeltype," categorienormen")</f>
        <v>Bijlage I.1: Invultabel categorienormen</v>
      </c>
    </row>
    <row r="3" spans="1:8" ht="38.25" x14ac:dyDescent="0.2">
      <c r="A3" s="8" t="s">
        <v>33</v>
      </c>
      <c r="B3" s="8" t="s">
        <v>34</v>
      </c>
      <c r="C3" s="8" t="s">
        <v>35</v>
      </c>
      <c r="D3" s="8" t="s">
        <v>36</v>
      </c>
      <c r="E3" s="8" t="s">
        <v>37</v>
      </c>
      <c r="F3" s="8" t="s">
        <v>38</v>
      </c>
      <c r="G3" s="8" t="s">
        <v>39</v>
      </c>
      <c r="H3" s="8" t="s">
        <v>40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41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42</v>
      </c>
      <c r="B6" s="16" t="s">
        <v>43</v>
      </c>
      <c r="C6" s="15">
        <v>1</v>
      </c>
      <c r="D6" s="15" t="s">
        <v>44</v>
      </c>
      <c r="E6" s="17"/>
      <c r="F6" s="18"/>
      <c r="G6" s="15" t="s">
        <v>45</v>
      </c>
      <c r="H6" s="19"/>
    </row>
    <row r="7" spans="1:8" x14ac:dyDescent="0.2">
      <c r="A7" s="20" t="s">
        <v>46</v>
      </c>
      <c r="B7" s="21" t="s">
        <v>43</v>
      </c>
      <c r="C7" s="20">
        <v>1</v>
      </c>
      <c r="D7" s="20" t="s">
        <v>47</v>
      </c>
      <c r="E7" s="22"/>
      <c r="F7" s="23"/>
      <c r="G7" s="20" t="s">
        <v>45</v>
      </c>
      <c r="H7" s="24"/>
    </row>
    <row r="8" spans="1:8" x14ac:dyDescent="0.2">
      <c r="A8" s="20" t="s">
        <v>48</v>
      </c>
      <c r="B8" s="21" t="s">
        <v>43</v>
      </c>
      <c r="C8" s="20">
        <v>1</v>
      </c>
      <c r="D8" s="20" t="s">
        <v>49</v>
      </c>
      <c r="E8" s="22"/>
      <c r="F8" s="23"/>
      <c r="G8" s="20" t="s">
        <v>45</v>
      </c>
      <c r="H8" s="24"/>
    </row>
    <row r="9" spans="1:8" x14ac:dyDescent="0.2">
      <c r="A9" s="20" t="s">
        <v>50</v>
      </c>
      <c r="B9" s="21" t="s">
        <v>43</v>
      </c>
      <c r="C9" s="20">
        <v>42</v>
      </c>
      <c r="D9" s="20" t="s">
        <v>51</v>
      </c>
      <c r="E9" s="22"/>
      <c r="F9" s="23"/>
      <c r="G9" s="20" t="s">
        <v>45</v>
      </c>
      <c r="H9" s="24"/>
    </row>
    <row r="10" spans="1:8" x14ac:dyDescent="0.2">
      <c r="A10" s="20" t="s">
        <v>52</v>
      </c>
      <c r="B10" s="21" t="s">
        <v>43</v>
      </c>
      <c r="C10" s="20">
        <v>1</v>
      </c>
      <c r="D10" s="20" t="s">
        <v>53</v>
      </c>
      <c r="E10" s="22"/>
      <c r="F10" s="23"/>
      <c r="G10" s="20" t="s">
        <v>45</v>
      </c>
      <c r="H10" s="24"/>
    </row>
    <row r="11" spans="1:8" x14ac:dyDescent="0.2">
      <c r="A11" s="20" t="s">
        <v>54</v>
      </c>
      <c r="B11" s="21" t="s">
        <v>43</v>
      </c>
      <c r="C11" s="20">
        <v>48</v>
      </c>
      <c r="D11" s="20" t="s">
        <v>55</v>
      </c>
      <c r="E11" s="22"/>
      <c r="F11" s="23"/>
      <c r="G11" s="20" t="s">
        <v>45</v>
      </c>
      <c r="H11" s="24"/>
    </row>
    <row r="12" spans="1:8" x14ac:dyDescent="0.2">
      <c r="A12" s="20" t="s">
        <v>54</v>
      </c>
      <c r="B12" s="21" t="s">
        <v>43</v>
      </c>
      <c r="C12" s="20">
        <v>42</v>
      </c>
      <c r="D12" s="20" t="s">
        <v>55</v>
      </c>
      <c r="E12" s="22"/>
      <c r="F12" s="23"/>
      <c r="G12" s="20" t="s">
        <v>45</v>
      </c>
      <c r="H12" s="24"/>
    </row>
    <row r="13" spans="1:8" x14ac:dyDescent="0.2">
      <c r="A13" s="20" t="s">
        <v>54</v>
      </c>
      <c r="B13" s="21" t="s">
        <v>43</v>
      </c>
      <c r="C13" s="20">
        <v>51</v>
      </c>
      <c r="D13" s="20" t="s">
        <v>55</v>
      </c>
      <c r="E13" s="22"/>
      <c r="F13" s="23"/>
      <c r="G13" s="20" t="s">
        <v>45</v>
      </c>
      <c r="H13" s="24"/>
    </row>
    <row r="14" spans="1:8" x14ac:dyDescent="0.2">
      <c r="A14" s="20" t="s">
        <v>56</v>
      </c>
      <c r="B14" s="21" t="s">
        <v>43</v>
      </c>
      <c r="C14" s="20">
        <v>42</v>
      </c>
      <c r="D14" s="20" t="s">
        <v>57</v>
      </c>
      <c r="E14" s="22"/>
      <c r="F14" s="23"/>
      <c r="G14" s="20" t="s">
        <v>45</v>
      </c>
      <c r="H14" s="24"/>
    </row>
    <row r="15" spans="1:8" x14ac:dyDescent="0.2">
      <c r="A15" s="20" t="s">
        <v>56</v>
      </c>
      <c r="B15" s="21" t="s">
        <v>43</v>
      </c>
      <c r="C15" s="20">
        <v>51</v>
      </c>
      <c r="D15" s="20" t="s">
        <v>57</v>
      </c>
      <c r="E15" s="22"/>
      <c r="F15" s="23"/>
      <c r="G15" s="20" t="s">
        <v>45</v>
      </c>
      <c r="H15" s="24"/>
    </row>
    <row r="16" spans="1:8" x14ac:dyDescent="0.2">
      <c r="A16" s="20" t="s">
        <v>56</v>
      </c>
      <c r="B16" s="21" t="s">
        <v>43</v>
      </c>
      <c r="C16" s="20">
        <v>48</v>
      </c>
      <c r="D16" s="20" t="s">
        <v>57</v>
      </c>
      <c r="E16" s="22"/>
      <c r="F16" s="23"/>
      <c r="G16" s="20" t="s">
        <v>45</v>
      </c>
      <c r="H16" s="24"/>
    </row>
    <row r="17" spans="1:8" x14ac:dyDescent="0.2">
      <c r="A17" s="20" t="s">
        <v>58</v>
      </c>
      <c r="B17" s="21" t="s">
        <v>43</v>
      </c>
      <c r="C17" s="20">
        <v>51</v>
      </c>
      <c r="D17" s="20" t="s">
        <v>59</v>
      </c>
      <c r="E17" s="22"/>
      <c r="F17" s="23"/>
      <c r="G17" s="20" t="s">
        <v>45</v>
      </c>
      <c r="H17" s="24"/>
    </row>
    <row r="18" spans="1:8" x14ac:dyDescent="0.2">
      <c r="A18" s="20" t="s">
        <v>58</v>
      </c>
      <c r="B18" s="21" t="s">
        <v>43</v>
      </c>
      <c r="C18" s="20">
        <v>42</v>
      </c>
      <c r="D18" s="20" t="s">
        <v>59</v>
      </c>
      <c r="E18" s="22"/>
      <c r="F18" s="23"/>
      <c r="G18" s="20" t="s">
        <v>45</v>
      </c>
      <c r="H18" s="24"/>
    </row>
    <row r="19" spans="1:8" x14ac:dyDescent="0.2">
      <c r="A19" s="20" t="s">
        <v>60</v>
      </c>
      <c r="B19" s="21" t="s">
        <v>61</v>
      </c>
      <c r="C19" s="20">
        <v>1</v>
      </c>
      <c r="D19" s="20" t="s">
        <v>62</v>
      </c>
      <c r="E19" s="22"/>
      <c r="F19" s="23"/>
      <c r="G19" s="20" t="s">
        <v>45</v>
      </c>
      <c r="H19" s="24"/>
    </row>
    <row r="20" spans="1:8" x14ac:dyDescent="0.2">
      <c r="A20" s="20" t="s">
        <v>63</v>
      </c>
      <c r="B20" s="21" t="s">
        <v>61</v>
      </c>
      <c r="C20" s="20">
        <v>42</v>
      </c>
      <c r="D20" s="20" t="s">
        <v>64</v>
      </c>
      <c r="E20" s="22"/>
      <c r="F20" s="23"/>
      <c r="G20" s="20" t="s">
        <v>45</v>
      </c>
      <c r="H20" s="24"/>
    </row>
    <row r="21" spans="1:8" x14ac:dyDescent="0.2">
      <c r="A21" s="20" t="s">
        <v>65</v>
      </c>
      <c r="B21" s="21" t="s">
        <v>61</v>
      </c>
      <c r="C21" s="20">
        <v>1</v>
      </c>
      <c r="D21" s="20" t="s">
        <v>66</v>
      </c>
      <c r="E21" s="22"/>
      <c r="F21" s="23"/>
      <c r="G21" s="20" t="s">
        <v>45</v>
      </c>
      <c r="H21" s="24"/>
    </row>
    <row r="22" spans="1:8" x14ac:dyDescent="0.2">
      <c r="A22" s="20" t="s">
        <v>67</v>
      </c>
      <c r="B22" s="21" t="s">
        <v>61</v>
      </c>
      <c r="C22" s="20">
        <v>42</v>
      </c>
      <c r="D22" s="20" t="s">
        <v>68</v>
      </c>
      <c r="E22" s="22"/>
      <c r="F22" s="23"/>
      <c r="G22" s="20" t="s">
        <v>45</v>
      </c>
      <c r="H22" s="24"/>
    </row>
    <row r="23" spans="1:8" x14ac:dyDescent="0.2">
      <c r="A23" s="20" t="s">
        <v>69</v>
      </c>
      <c r="B23" s="21" t="s">
        <v>61</v>
      </c>
      <c r="C23" s="20">
        <v>1</v>
      </c>
      <c r="D23" s="20" t="s">
        <v>70</v>
      </c>
      <c r="E23" s="22"/>
      <c r="F23" s="23"/>
      <c r="G23" s="20" t="s">
        <v>45</v>
      </c>
      <c r="H23" s="24"/>
    </row>
    <row r="24" spans="1:8" x14ac:dyDescent="0.2">
      <c r="A24" s="20" t="s">
        <v>71</v>
      </c>
      <c r="B24" s="21" t="s">
        <v>61</v>
      </c>
      <c r="C24" s="20">
        <v>42</v>
      </c>
      <c r="D24" s="20" t="s">
        <v>72</v>
      </c>
      <c r="E24" s="22"/>
      <c r="F24" s="23"/>
      <c r="G24" s="20" t="s">
        <v>45</v>
      </c>
      <c r="H24" s="24"/>
    </row>
    <row r="25" spans="1:8" x14ac:dyDescent="0.2">
      <c r="A25" s="20" t="s">
        <v>73</v>
      </c>
      <c r="B25" s="21" t="s">
        <v>61</v>
      </c>
      <c r="C25" s="20">
        <v>1</v>
      </c>
      <c r="D25" s="20" t="s">
        <v>74</v>
      </c>
      <c r="E25" s="22"/>
      <c r="F25" s="23"/>
      <c r="G25" s="20" t="s">
        <v>45</v>
      </c>
      <c r="H25" s="24"/>
    </row>
    <row r="26" spans="1:8" x14ac:dyDescent="0.2">
      <c r="A26" s="20" t="s">
        <v>75</v>
      </c>
      <c r="B26" s="21" t="s">
        <v>61</v>
      </c>
      <c r="C26" s="20">
        <v>42</v>
      </c>
      <c r="D26" s="20" t="s">
        <v>76</v>
      </c>
      <c r="E26" s="22"/>
      <c r="F26" s="23"/>
      <c r="G26" s="20" t="s">
        <v>45</v>
      </c>
      <c r="H26" s="24"/>
    </row>
    <row r="27" spans="1:8" x14ac:dyDescent="0.2">
      <c r="A27" s="20" t="s">
        <v>77</v>
      </c>
      <c r="B27" s="21" t="s">
        <v>78</v>
      </c>
      <c r="C27" s="20">
        <v>1</v>
      </c>
      <c r="D27" s="20" t="s">
        <v>79</v>
      </c>
      <c r="E27" s="22"/>
      <c r="F27" s="23"/>
      <c r="G27" s="20" t="s">
        <v>45</v>
      </c>
      <c r="H27" s="24"/>
    </row>
    <row r="28" spans="1:8" x14ac:dyDescent="0.2">
      <c r="A28" s="20" t="s">
        <v>80</v>
      </c>
      <c r="B28" s="21" t="s">
        <v>78</v>
      </c>
      <c r="C28" s="20">
        <v>1</v>
      </c>
      <c r="D28" s="20" t="s">
        <v>81</v>
      </c>
      <c r="E28" s="22"/>
      <c r="F28" s="23"/>
      <c r="G28" s="20" t="s">
        <v>45</v>
      </c>
      <c r="H28" s="24"/>
    </row>
    <row r="29" spans="1:8" x14ac:dyDescent="0.2">
      <c r="A29" s="20" t="s">
        <v>82</v>
      </c>
      <c r="B29" s="21" t="s">
        <v>78</v>
      </c>
      <c r="C29" s="20">
        <v>42</v>
      </c>
      <c r="D29" s="20" t="s">
        <v>83</v>
      </c>
      <c r="E29" s="22"/>
      <c r="F29" s="23"/>
      <c r="G29" s="20" t="s">
        <v>45</v>
      </c>
      <c r="H29" s="24"/>
    </row>
    <row r="30" spans="1:8" x14ac:dyDescent="0.2">
      <c r="A30" s="20" t="s">
        <v>84</v>
      </c>
      <c r="B30" s="21" t="s">
        <v>78</v>
      </c>
      <c r="C30" s="20">
        <v>48</v>
      </c>
      <c r="D30" s="20" t="s">
        <v>85</v>
      </c>
      <c r="E30" s="22"/>
      <c r="F30" s="23"/>
      <c r="G30" s="20" t="s">
        <v>45</v>
      </c>
      <c r="H30" s="24"/>
    </row>
    <row r="31" spans="1:8" x14ac:dyDescent="0.2">
      <c r="A31" s="20" t="s">
        <v>84</v>
      </c>
      <c r="B31" s="21" t="s">
        <v>78</v>
      </c>
      <c r="C31" s="20">
        <v>42</v>
      </c>
      <c r="D31" s="20" t="s">
        <v>85</v>
      </c>
      <c r="E31" s="22"/>
      <c r="F31" s="23"/>
      <c r="G31" s="20" t="s">
        <v>45</v>
      </c>
      <c r="H31" s="24"/>
    </row>
    <row r="32" spans="1:8" x14ac:dyDescent="0.2">
      <c r="A32" s="20" t="s">
        <v>86</v>
      </c>
      <c r="B32" s="21" t="s">
        <v>87</v>
      </c>
      <c r="C32" s="20">
        <v>1</v>
      </c>
      <c r="D32" s="20" t="s">
        <v>88</v>
      </c>
      <c r="E32" s="22"/>
      <c r="F32" s="23"/>
      <c r="G32" s="20" t="s">
        <v>45</v>
      </c>
      <c r="H32" s="24"/>
    </row>
    <row r="33" spans="1:8" x14ac:dyDescent="0.2">
      <c r="A33" s="20" t="s">
        <v>89</v>
      </c>
      <c r="B33" s="21" t="s">
        <v>87</v>
      </c>
      <c r="C33" s="20">
        <v>1</v>
      </c>
      <c r="D33" s="20" t="s">
        <v>90</v>
      </c>
      <c r="E33" s="22"/>
      <c r="F33" s="23"/>
      <c r="G33" s="20" t="s">
        <v>45</v>
      </c>
      <c r="H33" s="24"/>
    </row>
    <row r="34" spans="1:8" x14ac:dyDescent="0.2">
      <c r="A34" s="20" t="s">
        <v>91</v>
      </c>
      <c r="B34" s="21" t="s">
        <v>87</v>
      </c>
      <c r="C34" s="20">
        <v>1</v>
      </c>
      <c r="D34" s="20" t="s">
        <v>92</v>
      </c>
      <c r="E34" s="22"/>
      <c r="F34" s="23"/>
      <c r="G34" s="20" t="s">
        <v>45</v>
      </c>
      <c r="H34" s="24"/>
    </row>
    <row r="35" spans="1:8" x14ac:dyDescent="0.2">
      <c r="A35" s="20" t="s">
        <v>93</v>
      </c>
      <c r="B35" s="21" t="s">
        <v>87</v>
      </c>
      <c r="C35" s="20">
        <v>1</v>
      </c>
      <c r="D35" s="20" t="s">
        <v>94</v>
      </c>
      <c r="E35" s="22"/>
      <c r="F35" s="23"/>
      <c r="G35" s="20" t="s">
        <v>45</v>
      </c>
      <c r="H35" s="24"/>
    </row>
    <row r="36" spans="1:8" x14ac:dyDescent="0.2">
      <c r="A36" s="20" t="s">
        <v>95</v>
      </c>
      <c r="B36" s="21" t="s">
        <v>87</v>
      </c>
      <c r="C36" s="20">
        <v>1</v>
      </c>
      <c r="D36" s="20" t="s">
        <v>96</v>
      </c>
      <c r="E36" s="22"/>
      <c r="F36" s="23"/>
      <c r="G36" s="20" t="s">
        <v>45</v>
      </c>
      <c r="H36" s="24"/>
    </row>
    <row r="37" spans="1:8" x14ac:dyDescent="0.2">
      <c r="A37" s="20" t="s">
        <v>97</v>
      </c>
      <c r="B37" s="21" t="s">
        <v>87</v>
      </c>
      <c r="C37" s="20">
        <v>1</v>
      </c>
      <c r="D37" s="20" t="s">
        <v>98</v>
      </c>
      <c r="E37" s="22"/>
      <c r="F37" s="23"/>
      <c r="G37" s="20" t="s">
        <v>45</v>
      </c>
      <c r="H37" s="24"/>
    </row>
    <row r="38" spans="1:8" x14ac:dyDescent="0.2">
      <c r="A38" s="20" t="s">
        <v>99</v>
      </c>
      <c r="B38" s="21" t="s">
        <v>87</v>
      </c>
      <c r="C38" s="20">
        <v>1</v>
      </c>
      <c r="D38" s="20" t="s">
        <v>100</v>
      </c>
      <c r="E38" s="22"/>
      <c r="F38" s="23"/>
      <c r="G38" s="20" t="s">
        <v>45</v>
      </c>
      <c r="H38" s="24"/>
    </row>
    <row r="39" spans="1:8" x14ac:dyDescent="0.2">
      <c r="A39" s="20" t="s">
        <v>101</v>
      </c>
      <c r="B39" s="21" t="s">
        <v>87</v>
      </c>
      <c r="C39" s="20">
        <v>1</v>
      </c>
      <c r="D39" s="20" t="s">
        <v>102</v>
      </c>
      <c r="E39" s="22"/>
      <c r="F39" s="23"/>
      <c r="G39" s="20" t="s">
        <v>45</v>
      </c>
      <c r="H39" s="24"/>
    </row>
    <row r="40" spans="1:8" x14ac:dyDescent="0.2">
      <c r="A40" s="20" t="s">
        <v>103</v>
      </c>
      <c r="B40" s="21" t="s">
        <v>87</v>
      </c>
      <c r="C40" s="20">
        <v>48</v>
      </c>
      <c r="D40" s="20" t="s">
        <v>104</v>
      </c>
      <c r="E40" s="22"/>
      <c r="F40" s="23"/>
      <c r="G40" s="20" t="s">
        <v>45</v>
      </c>
      <c r="H40" s="24"/>
    </row>
    <row r="41" spans="1:8" x14ac:dyDescent="0.2">
      <c r="A41" s="20" t="s">
        <v>103</v>
      </c>
      <c r="B41" s="21" t="s">
        <v>87</v>
      </c>
      <c r="C41" s="20">
        <v>42</v>
      </c>
      <c r="D41" s="20" t="s">
        <v>104</v>
      </c>
      <c r="E41" s="22"/>
      <c r="F41" s="23"/>
      <c r="G41" s="20" t="s">
        <v>45</v>
      </c>
      <c r="H41" s="24"/>
    </row>
    <row r="42" spans="1:8" x14ac:dyDescent="0.2">
      <c r="A42" s="20" t="s">
        <v>105</v>
      </c>
      <c r="B42" s="21" t="s">
        <v>87</v>
      </c>
      <c r="C42" s="20">
        <v>42</v>
      </c>
      <c r="D42" s="20" t="s">
        <v>106</v>
      </c>
      <c r="E42" s="22"/>
      <c r="F42" s="23"/>
      <c r="G42" s="20" t="s">
        <v>45</v>
      </c>
      <c r="H42" s="24"/>
    </row>
    <row r="43" spans="1:8" x14ac:dyDescent="0.2">
      <c r="A43" s="20" t="s">
        <v>105</v>
      </c>
      <c r="B43" s="21" t="s">
        <v>87</v>
      </c>
      <c r="C43" s="20">
        <v>48</v>
      </c>
      <c r="D43" s="20" t="s">
        <v>106</v>
      </c>
      <c r="E43" s="22"/>
      <c r="F43" s="23"/>
      <c r="G43" s="20" t="s">
        <v>45</v>
      </c>
      <c r="H43" s="24"/>
    </row>
    <row r="44" spans="1:8" x14ac:dyDescent="0.2">
      <c r="A44" s="20" t="s">
        <v>107</v>
      </c>
      <c r="B44" s="21" t="s">
        <v>87</v>
      </c>
      <c r="C44" s="20">
        <v>42</v>
      </c>
      <c r="D44" s="20" t="s">
        <v>108</v>
      </c>
      <c r="E44" s="22"/>
      <c r="F44" s="23"/>
      <c r="G44" s="20" t="s">
        <v>45</v>
      </c>
      <c r="H44" s="24"/>
    </row>
    <row r="45" spans="1:8" x14ac:dyDescent="0.2">
      <c r="A45" s="20" t="s">
        <v>109</v>
      </c>
      <c r="B45" s="21" t="s">
        <v>87</v>
      </c>
      <c r="C45" s="20">
        <v>42</v>
      </c>
      <c r="D45" s="20" t="s">
        <v>110</v>
      </c>
      <c r="E45" s="22"/>
      <c r="F45" s="23"/>
      <c r="G45" s="20" t="s">
        <v>45</v>
      </c>
      <c r="H45" s="24"/>
    </row>
    <row r="46" spans="1:8" x14ac:dyDescent="0.2">
      <c r="A46" s="20" t="s">
        <v>111</v>
      </c>
      <c r="B46" s="21" t="s">
        <v>87</v>
      </c>
      <c r="C46" s="20">
        <v>42</v>
      </c>
      <c r="D46" s="20" t="s">
        <v>112</v>
      </c>
      <c r="E46" s="22"/>
      <c r="F46" s="23"/>
      <c r="G46" s="20" t="s">
        <v>45</v>
      </c>
      <c r="H46" s="24"/>
    </row>
    <row r="47" spans="1:8" x14ac:dyDescent="0.2">
      <c r="A47" s="20" t="s">
        <v>111</v>
      </c>
      <c r="B47" s="21" t="s">
        <v>87</v>
      </c>
      <c r="C47" s="20">
        <v>51</v>
      </c>
      <c r="D47" s="20" t="s">
        <v>112</v>
      </c>
      <c r="E47" s="22"/>
      <c r="F47" s="23"/>
      <c r="G47" s="20" t="s">
        <v>45</v>
      </c>
      <c r="H47" s="24"/>
    </row>
    <row r="48" spans="1:8" x14ac:dyDescent="0.2">
      <c r="A48" s="20" t="s">
        <v>113</v>
      </c>
      <c r="B48" s="21" t="s">
        <v>87</v>
      </c>
      <c r="C48" s="20">
        <v>42</v>
      </c>
      <c r="D48" s="20" t="s">
        <v>114</v>
      </c>
      <c r="E48" s="22"/>
      <c r="F48" s="23"/>
      <c r="G48" s="20" t="s">
        <v>45</v>
      </c>
      <c r="H48" s="24"/>
    </row>
    <row r="49" spans="1:8" x14ac:dyDescent="0.2">
      <c r="A49" s="20" t="s">
        <v>115</v>
      </c>
      <c r="B49" s="21" t="s">
        <v>87</v>
      </c>
      <c r="C49" s="20">
        <v>42</v>
      </c>
      <c r="D49" s="20" t="s">
        <v>116</v>
      </c>
      <c r="E49" s="22"/>
      <c r="F49" s="23"/>
      <c r="G49" s="20" t="s">
        <v>45</v>
      </c>
      <c r="H49" s="24"/>
    </row>
    <row r="50" spans="1:8" x14ac:dyDescent="0.2">
      <c r="A50" s="20" t="s">
        <v>115</v>
      </c>
      <c r="B50" s="21" t="s">
        <v>87</v>
      </c>
      <c r="C50" s="20">
        <v>48</v>
      </c>
      <c r="D50" s="20" t="s">
        <v>116</v>
      </c>
      <c r="E50" s="22"/>
      <c r="F50" s="23"/>
      <c r="G50" s="20" t="s">
        <v>45</v>
      </c>
      <c r="H50" s="24"/>
    </row>
    <row r="51" spans="1:8" x14ac:dyDescent="0.2">
      <c r="A51" s="20" t="s">
        <v>117</v>
      </c>
      <c r="B51" s="21" t="s">
        <v>87</v>
      </c>
      <c r="C51" s="20">
        <v>42</v>
      </c>
      <c r="D51" s="20" t="s">
        <v>118</v>
      </c>
      <c r="E51" s="22"/>
      <c r="F51" s="23"/>
      <c r="G51" s="20" t="s">
        <v>45</v>
      </c>
      <c r="H51" s="24"/>
    </row>
    <row r="52" spans="1:8" x14ac:dyDescent="0.2">
      <c r="A52" s="20" t="s">
        <v>117</v>
      </c>
      <c r="B52" s="21" t="s">
        <v>87</v>
      </c>
      <c r="C52" s="20">
        <v>48</v>
      </c>
      <c r="D52" s="20" t="s">
        <v>119</v>
      </c>
      <c r="E52" s="22"/>
      <c r="F52" s="23"/>
      <c r="G52" s="20" t="s">
        <v>45</v>
      </c>
      <c r="H52" s="24"/>
    </row>
    <row r="53" spans="1:8" x14ac:dyDescent="0.2">
      <c r="A53" s="25" t="s">
        <v>117</v>
      </c>
      <c r="B53" s="26" t="s">
        <v>87</v>
      </c>
      <c r="C53" s="25">
        <v>51</v>
      </c>
      <c r="D53" s="25" t="s">
        <v>120</v>
      </c>
      <c r="E53" s="27"/>
      <c r="F53" s="28"/>
      <c r="G53" s="25" t="s">
        <v>45</v>
      </c>
      <c r="H53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1A340-D733-4413-8740-1E979AA1C16E}">
  <dimension ref="A1:N6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I.2: ",tabeltype," regulier werk")</f>
        <v>Bijlage I.2: Invultabel regulier werk</v>
      </c>
    </row>
    <row r="3" spans="1:14" ht="38.25" x14ac:dyDescent="0.2">
      <c r="A3" s="8" t="s">
        <v>121</v>
      </c>
      <c r="B3" s="8" t="s">
        <v>7</v>
      </c>
      <c r="C3" s="8" t="s">
        <v>122</v>
      </c>
      <c r="D3" s="8" t="s">
        <v>36</v>
      </c>
      <c r="E3" s="8" t="s">
        <v>123</v>
      </c>
      <c r="F3" s="8" t="s">
        <v>124</v>
      </c>
      <c r="G3" s="8" t="s">
        <v>37</v>
      </c>
      <c r="H3" s="8" t="s">
        <v>38</v>
      </c>
      <c r="I3" s="8" t="s">
        <v>39</v>
      </c>
      <c r="J3" s="8" t="s">
        <v>40</v>
      </c>
      <c r="K3" s="8" t="s">
        <v>125</v>
      </c>
      <c r="L3" s="8" t="s">
        <v>126</v>
      </c>
      <c r="M3" s="8" t="s">
        <v>127</v>
      </c>
      <c r="N3" s="8" t="s">
        <v>128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129</v>
      </c>
      <c r="B6" s="15" t="s">
        <v>12</v>
      </c>
      <c r="C6" s="15" t="s">
        <v>130</v>
      </c>
      <c r="D6" s="15" t="s">
        <v>131</v>
      </c>
      <c r="E6" s="30">
        <v>6815.2999999999984</v>
      </c>
      <c r="F6" s="30">
        <f>E6*VLOOKUP(B6,dagsoorttabel1,2,FALSE)</f>
        <v>6815.2999999999984</v>
      </c>
      <c r="G6" s="31">
        <f>IF(AND(catpn_1_AB_1&gt;0,catpn_1_AV_42&gt;0),(dagenperjaar1*VLOOKUP(B6,dagsoorttabel1,2,FALSE))/(((dagenperjaar1*VLOOKUP(B6,dagsoorttabel1,2,FALSE))-catfd_1_AV_42)/catpn_1_AB_1+catfd_1_AV_42/catpn_1_AV_42),0)</f>
        <v>0</v>
      </c>
      <c r="H6" s="32">
        <f>IF(AND(catpn_1_AB_1&gt;0,catpn_1_AV_42&gt;0),(catdw_1_AB_1*((dagenperjaar1*VLOOKUP(B6,dagsoorttabel1,2,FALSE))-catfd_1_AV_42)/catpn_1_AB_1+catdw_1_AV_42*catfd_1_AV_42/catpn_1_AV_42)/(((dagenperjaar1*VLOOKUP(B6,dagsoorttabel1,2,FALSE))-catfd_1_AV_42)/catpn_1_AB_1+catfd_1_AV_42/catpn_1_AV_42),0)</f>
        <v>0</v>
      </c>
      <c r="I6" s="15" t="s">
        <v>45</v>
      </c>
      <c r="J6" s="33">
        <f>IF(AND(catpn_1_AB_1&gt;0,catpn_1_AV_42&gt;0),(cattf_1_AB_1*((dagenperjaar1*VLOOKUP(B6,dagsoorttabel1,2,FALSE))-catfd_1_AV_42)/catpn_1_AB_1+cattf_1_AV_42*catfd_1_AV_42/catpn_1_AV_42)/(((dagenperjaar1*VLOOKUP(B6,dagsoorttabel1,2,FALSE))-catfd_1_AV_42)/catpn_1_AB_1+catfd_1_AV_42/catpn_1_AV_42)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129</v>
      </c>
      <c r="B7" s="20" t="s">
        <v>10</v>
      </c>
      <c r="C7" s="20" t="s">
        <v>130</v>
      </c>
      <c r="D7" s="20" t="s">
        <v>131</v>
      </c>
      <c r="E7" s="34">
        <v>131.38999999999999</v>
      </c>
      <c r="F7" s="34">
        <f>E7*VLOOKUP(B7,dagsoorttabel1,2,FALSE)</f>
        <v>150.15999999999997</v>
      </c>
      <c r="G7" s="35">
        <f>IF(AND(catpn_1_AB_1&gt;0,catpn_1_AV_48&gt;0),(dagenperjaar1*VLOOKUP(B7,dagsoorttabel1,2,FALSE))/(((dagenperjaar1*VLOOKUP(B7,dagsoorttabel1,2,FALSE))-catfd_1_AV_48)/catpn_1_AB_1+catfd_1_AV_48/catpn_1_AV_48),0)</f>
        <v>0</v>
      </c>
      <c r="H7" s="36">
        <f>IF(AND(catpn_1_AB_1&gt;0,catpn_1_AV_48&gt;0),(catdw_1_AB_1*((dagenperjaar1*VLOOKUP(B7,dagsoorttabel1,2,FALSE))-catfd_1_AV_48)/catpn_1_AB_1+catdw_1_AV_48*catfd_1_AV_48/catpn_1_AV_48)/(((dagenperjaar1*VLOOKUP(B7,dagsoorttabel1,2,FALSE))-catfd_1_AV_48)/catpn_1_AB_1+catfd_1_AV_48/catpn_1_AV_48),0)</f>
        <v>0</v>
      </c>
      <c r="I7" s="20" t="s">
        <v>45</v>
      </c>
      <c r="J7" s="37">
        <f>IF(AND(catpn_1_AB_1&gt;0,catpn_1_AV_48&gt;0),(cattf_1_AB_1*((dagenperjaar1*VLOOKUP(B7,dagsoorttabel1,2,FALSE))-catfd_1_AV_48)/catpn_1_AB_1+cattf_1_AV_48*catfd_1_AV_48/catpn_1_AV_48)/(((dagenperjaar1*VLOOKUP(B7,dagsoorttabel1,2,FALSE))-catfd_1_AV_48)/catpn_1_AB_1+catfd_1_AV_48/catpn_1_AV_48)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132</v>
      </c>
      <c r="B8" s="20" t="s">
        <v>18</v>
      </c>
      <c r="C8" s="20" t="s">
        <v>130</v>
      </c>
      <c r="D8" s="20" t="s">
        <v>133</v>
      </c>
      <c r="E8" s="34">
        <v>898.3</v>
      </c>
      <c r="F8" s="34">
        <f>E8*VLOOKUP(B8,dagsoorttabel1,2,FALSE)</f>
        <v>436.31714285714281</v>
      </c>
      <c r="G8" s="35">
        <f>IF(AND(catpn_1_BB_1&gt;0,catpn_1_BV_51&gt;0),(dagenperjaar1*VLOOKUP(B8,dagsoorttabel1,2,FALSE))/(((dagenperjaar1*VLOOKUP(B8,dagsoorttabel1,2,FALSE))-catfd_1_BV_51)/catpn_1_BB_1+catfd_1_BV_51/catpn_1_BV_51),0)</f>
        <v>0</v>
      </c>
      <c r="H8" s="36">
        <f>IF(AND(catpn_1_BB_1&gt;0,catpn_1_BV_51&gt;0),(catdw_1_BB_1*((dagenperjaar1*VLOOKUP(B8,dagsoorttabel1,2,FALSE))-catfd_1_BV_51)/catpn_1_BB_1+catdw_1_BV_51*catfd_1_BV_51/catpn_1_BV_51)/(((dagenperjaar1*VLOOKUP(B8,dagsoorttabel1,2,FALSE))-catfd_1_BV_51)/catpn_1_BB_1+catfd_1_BV_51/catpn_1_BV_51),0)</f>
        <v>0</v>
      </c>
      <c r="I8" s="20" t="s">
        <v>45</v>
      </c>
      <c r="J8" s="37">
        <f>IF(AND(catpn_1_BB_1&gt;0,catpn_1_BV_51&gt;0),(cattf_1_BB_1*((dagenperjaar1*VLOOKUP(B8,dagsoorttabel1,2,FALSE))-catfd_1_BV_51)/catpn_1_BB_1+cattf_1_BV_51*catfd_1_BV_51/catpn_1_BV_51)/(((dagenperjaar1*VLOOKUP(B8,dagsoorttabel1,2,FALSE))-catfd_1_BV_51)/catpn_1_BB_1+catfd_1_BV_51/catpn_1_BV_51)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132</v>
      </c>
      <c r="B9" s="20" t="s">
        <v>21</v>
      </c>
      <c r="C9" s="20" t="s">
        <v>130</v>
      </c>
      <c r="D9" s="20" t="s">
        <v>133</v>
      </c>
      <c r="E9" s="34">
        <v>9315.4399999999987</v>
      </c>
      <c r="F9" s="34">
        <f>E9*VLOOKUP(B9,dagsoorttabel1,2,FALSE)</f>
        <v>3726.1759999999995</v>
      </c>
      <c r="G9" s="35">
        <f>IF(AND(catpn_1_BB_1&gt;0,catpn_1_BV_42&gt;0),(dagenperjaar1*VLOOKUP(B9,dagsoorttabel1,2,FALSE))/(((dagenperjaar1*VLOOKUP(B9,dagsoorttabel1,2,FALSE))-catfd_1_BV_42)/catpn_1_BB_1+catfd_1_BV_42/catpn_1_BV_42),0)</f>
        <v>0</v>
      </c>
      <c r="H9" s="36">
        <f>IF(AND(catpn_1_BB_1&gt;0,catpn_1_BV_42&gt;0),(catdw_1_BB_1*((dagenperjaar1*VLOOKUP(B9,dagsoorttabel1,2,FALSE))-catfd_1_BV_42)/catpn_1_BB_1+catdw_1_BV_42*catfd_1_BV_42/catpn_1_BV_42)/(((dagenperjaar1*VLOOKUP(B9,dagsoorttabel1,2,FALSE))-catfd_1_BV_42)/catpn_1_BB_1+catfd_1_BV_42/catpn_1_BV_42),0)</f>
        <v>0</v>
      </c>
      <c r="I9" s="20" t="s">
        <v>45</v>
      </c>
      <c r="J9" s="37">
        <f>IF(AND(catpn_1_BB_1&gt;0,catpn_1_BV_42&gt;0),(cattf_1_BB_1*((dagenperjaar1*VLOOKUP(B9,dagsoorttabel1,2,FALSE))-catfd_1_BV_42)/catpn_1_BB_1+cattf_1_BV_42*catfd_1_BV_42/catpn_1_BV_42)/(((dagenperjaar1*VLOOKUP(B9,dagsoorttabel1,2,FALSE))-catfd_1_BV_42)/catpn_1_BB_1+catfd_1_BV_42/catpn_1_BV_42)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132</v>
      </c>
      <c r="B10" s="20" t="s">
        <v>19</v>
      </c>
      <c r="C10" s="20" t="s">
        <v>130</v>
      </c>
      <c r="D10" s="20" t="s">
        <v>133</v>
      </c>
      <c r="E10" s="34">
        <v>99.35</v>
      </c>
      <c r="F10" s="34">
        <f>E10*VLOOKUP(B10,dagsoorttabel1,2,FALSE)</f>
        <v>45.417142857142856</v>
      </c>
      <c r="G10" s="35">
        <f>IF(AND(catpn_1_BB_1&gt;0,catpn_1_BV_48&gt;0),(dagenperjaar1*VLOOKUP(B10,dagsoorttabel1,2,FALSE))/(((dagenperjaar1*VLOOKUP(B10,dagsoorttabel1,2,FALSE))-catfd_1_BV_48)/catpn_1_BB_1+catfd_1_BV_48/catpn_1_BV_48),0)</f>
        <v>0</v>
      </c>
      <c r="H10" s="36">
        <f>IF(AND(catpn_1_BB_1&gt;0,catpn_1_BV_48&gt;0),(catdw_1_BB_1*((dagenperjaar1*VLOOKUP(B10,dagsoorttabel1,2,FALSE))-catfd_1_BV_48)/catpn_1_BB_1+catdw_1_BV_48*catfd_1_BV_48/catpn_1_BV_48)/(((dagenperjaar1*VLOOKUP(B10,dagsoorttabel1,2,FALSE))-catfd_1_BV_48)/catpn_1_BB_1+catfd_1_BV_48/catpn_1_BV_48),0)</f>
        <v>0</v>
      </c>
      <c r="I10" s="20" t="s">
        <v>45</v>
      </c>
      <c r="J10" s="37">
        <f>IF(AND(catpn_1_BB_1&gt;0,catpn_1_BV_48&gt;0),(cattf_1_BB_1*((dagenperjaar1*VLOOKUP(B10,dagsoorttabel1,2,FALSE))-catfd_1_BV_48)/catpn_1_BB_1+cattf_1_BV_48*catfd_1_BV_48/catpn_1_BV_48)/(((dagenperjaar1*VLOOKUP(B10,dagsoorttabel1,2,FALSE))-catfd_1_BV_48)/catpn_1_BB_1+catfd_1_BV_48/catpn_1_BV_48)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134</v>
      </c>
      <c r="B11" s="20" t="s">
        <v>12</v>
      </c>
      <c r="C11" s="20" t="s">
        <v>130</v>
      </c>
      <c r="D11" s="20" t="s">
        <v>133</v>
      </c>
      <c r="E11" s="34">
        <v>48.45</v>
      </c>
      <c r="F11" s="34">
        <f>E11*VLOOKUP(B11,dagsoorttabel1,2,FALSE)</f>
        <v>48.45</v>
      </c>
      <c r="G11" s="35">
        <f>IF(AND(catpn_1_BB_1&gt;0,catpn_1_BV_42&gt;0),(dagenperjaar1*VLOOKUP(B11,dagsoorttabel1,2,FALSE))/(((dagenperjaar1*VLOOKUP(B11,dagsoorttabel1,2,FALSE))-catfd_1_BV_42)/catpn_1_BB_1+catfd_1_BV_42/catpn_1_BV_42),0)</f>
        <v>0</v>
      </c>
      <c r="H11" s="36">
        <f>IF(AND(catpn_1_BB_1&gt;0,catpn_1_BV_42&gt;0),(catdw_1_BB_1*((dagenperjaar1*VLOOKUP(B11,dagsoorttabel1,2,FALSE))-catfd_1_BV_42)/catpn_1_BB_1+catdw_1_BV_42*catfd_1_BV_42/catpn_1_BV_42)/(((dagenperjaar1*VLOOKUP(B11,dagsoorttabel1,2,FALSE))-catfd_1_BV_42)/catpn_1_BB_1+catfd_1_BV_42/catpn_1_BV_42),0)</f>
        <v>0</v>
      </c>
      <c r="I11" s="20" t="s">
        <v>45</v>
      </c>
      <c r="J11" s="37">
        <f>IF(AND(catpn_1_BB_1&gt;0,catpn_1_BV_42&gt;0),(cattf_1_BB_1*((dagenperjaar1*VLOOKUP(B11,dagsoorttabel1,2,FALSE))-catfd_1_BV_42)/catpn_1_BB_1+cattf_1_BV_42*catfd_1_BV_42/catpn_1_BV_42)/(((dagenperjaar1*VLOOKUP(B11,dagsoorttabel1,2,FALSE))-catfd_1_BV_42)/catpn_1_BB_1+catfd_1_BV_42/catpn_1_BV_42)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135</v>
      </c>
      <c r="B12" s="20" t="s">
        <v>12</v>
      </c>
      <c r="C12" s="20" t="s">
        <v>130</v>
      </c>
      <c r="D12" s="20" t="s">
        <v>136</v>
      </c>
      <c r="E12" s="34">
        <v>539.01</v>
      </c>
      <c r="F12" s="34">
        <f>E12*VLOOKUP(B12,dagsoorttabel1,2,FALSE)</f>
        <v>539.01</v>
      </c>
      <c r="G12" s="35">
        <f>IF(AND(catpn_1_DB_1&gt;0,catpn_1_DV_42&gt;0),(dagenperjaar1*VLOOKUP(B12,dagsoorttabel1,2,FALSE))/(((dagenperjaar1*VLOOKUP(B12,dagsoorttabel1,2,FALSE))-catfd_1_DV_42)/catpn_1_DB_1+catfd_1_DV_42/catpn_1_DV_42),0)</f>
        <v>0</v>
      </c>
      <c r="H12" s="36">
        <f>IF(AND(catpn_1_DB_1&gt;0,catpn_1_DV_42&gt;0),(catdw_1_DB_1*((dagenperjaar1*VLOOKUP(B12,dagsoorttabel1,2,FALSE))-catfd_1_DV_42)/catpn_1_DB_1+catdw_1_DV_42*catfd_1_DV_42/catpn_1_DV_42)/(((dagenperjaar1*VLOOKUP(B12,dagsoorttabel1,2,FALSE))-catfd_1_DV_42)/catpn_1_DB_1+catfd_1_DV_42/catpn_1_DV_42),0)</f>
        <v>0</v>
      </c>
      <c r="I12" s="20" t="s">
        <v>45</v>
      </c>
      <c r="J12" s="37">
        <f>IF(AND(catpn_1_DB_1&gt;0,catpn_1_DV_42&gt;0),(cattf_1_DB_1*((dagenperjaar1*VLOOKUP(B12,dagsoorttabel1,2,FALSE))-catfd_1_DV_42)/catpn_1_DB_1+cattf_1_DV_42*catfd_1_DV_42/catpn_1_DV_42)/(((dagenperjaar1*VLOOKUP(B12,dagsoorttabel1,2,FALSE))-catfd_1_DV_42)/catpn_1_DB_1+catfd_1_DV_42/catpn_1_DV_42)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135</v>
      </c>
      <c r="B13" s="20" t="s">
        <v>24</v>
      </c>
      <c r="C13" s="20" t="s">
        <v>130</v>
      </c>
      <c r="D13" s="20" t="s">
        <v>136</v>
      </c>
      <c r="E13" s="34">
        <v>123</v>
      </c>
      <c r="F13" s="34">
        <f>E13*VLOOKUP(B13,dagsoorttabel1,2,FALSE)</f>
        <v>24.6</v>
      </c>
      <c r="G13" s="35">
        <f>IF(AND(catpn_1_DB_1&gt;0,catpn_1_DV_42&gt;0),(dagenperjaar1*VLOOKUP(B13,dagsoorttabel1,2,FALSE))/(((dagenperjaar1*VLOOKUP(B13,dagsoorttabel1,2,FALSE))-catfd_1_DV_42)/catpn_1_DB_1+catfd_1_DV_42/catpn_1_DV_42),0)</f>
        <v>0</v>
      </c>
      <c r="H13" s="36">
        <f>IF(AND(catpn_1_DB_1&gt;0,catpn_1_DV_42&gt;0),(catdw_1_DB_1*((dagenperjaar1*VLOOKUP(B13,dagsoorttabel1,2,FALSE))-catfd_1_DV_42)/catpn_1_DB_1+catdw_1_DV_42*catfd_1_DV_42/catpn_1_DV_42)/(((dagenperjaar1*VLOOKUP(B13,dagsoorttabel1,2,FALSE))-catfd_1_DV_42)/catpn_1_DB_1+catfd_1_DV_42/catpn_1_DV_42),0)</f>
        <v>0</v>
      </c>
      <c r="I13" s="20" t="s">
        <v>45</v>
      </c>
      <c r="J13" s="37">
        <f>IF(AND(catpn_1_DB_1&gt;0,catpn_1_DV_42&gt;0),(cattf_1_DB_1*((dagenperjaar1*VLOOKUP(B13,dagsoorttabel1,2,FALSE))-catfd_1_DV_42)/catpn_1_DB_1+cattf_1_DV_42*catfd_1_DV_42/catpn_1_DV_42)/(((dagenperjaar1*VLOOKUP(B13,dagsoorttabel1,2,FALSE))-catfd_1_DV_42)/catpn_1_DB_1+catfd_1_DV_42/catpn_1_DV_42)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137</v>
      </c>
      <c r="B14" s="20" t="s">
        <v>12</v>
      </c>
      <c r="C14" s="20" t="s">
        <v>130</v>
      </c>
      <c r="D14" s="20" t="s">
        <v>138</v>
      </c>
      <c r="E14" s="34">
        <v>495.53</v>
      </c>
      <c r="F14" s="34">
        <f>E14*VLOOKUP(B14,dagsoorttabel1,2,FALSE)</f>
        <v>495.53</v>
      </c>
      <c r="G14" s="35">
        <f>IF(AND(catpn_1_EB_1&gt;0,catpn_1_EV_42&gt;0),(dagenperjaar1*VLOOKUP(B14,dagsoorttabel1,2,FALSE))/(((dagenperjaar1*VLOOKUP(B14,dagsoorttabel1,2,FALSE))-catfd_1_EV_42)/catpn_1_EB_1+catfd_1_EV_42/catpn_1_EV_42),0)</f>
        <v>0</v>
      </c>
      <c r="H14" s="36">
        <f>IF(AND(catpn_1_EB_1&gt;0,catpn_1_EV_42&gt;0),(catdw_1_EB_1*((dagenperjaar1*VLOOKUP(B14,dagsoorttabel1,2,FALSE))-catfd_1_EV_42)/catpn_1_EB_1+catdw_1_EV_42*catfd_1_EV_42/catpn_1_EV_42)/(((dagenperjaar1*VLOOKUP(B14,dagsoorttabel1,2,FALSE))-catfd_1_EV_42)/catpn_1_EB_1+catfd_1_EV_42/catpn_1_EV_42),0)</f>
        <v>0</v>
      </c>
      <c r="I14" s="20" t="s">
        <v>45</v>
      </c>
      <c r="J14" s="37">
        <f>IF(AND(catpn_1_EB_1&gt;0,catpn_1_EV_42&gt;0),(cattf_1_EB_1*((dagenperjaar1*VLOOKUP(B14,dagsoorttabel1,2,FALSE))-catfd_1_EV_42)/catpn_1_EB_1+cattf_1_EV_42*catfd_1_EV_42/catpn_1_EV_42)/(((dagenperjaar1*VLOOKUP(B14,dagsoorttabel1,2,FALSE))-catfd_1_EV_42)/catpn_1_EB_1+catfd_1_EV_42/catpn_1_EV_42)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137</v>
      </c>
      <c r="B15" s="20" t="s">
        <v>10</v>
      </c>
      <c r="C15" s="20" t="s">
        <v>130</v>
      </c>
      <c r="D15" s="20" t="s">
        <v>138</v>
      </c>
      <c r="E15" s="34">
        <v>16.510000000000002</v>
      </c>
      <c r="F15" s="34">
        <f>E15*VLOOKUP(B15,dagsoorttabel1,2,FALSE)</f>
        <v>18.868571428571428</v>
      </c>
      <c r="G15" s="35">
        <f>IF(AND(catpn_1_EB_1&gt;0,catpn_1_EV_48&gt;0),(dagenperjaar1*VLOOKUP(B15,dagsoorttabel1,2,FALSE))/(((dagenperjaar1*VLOOKUP(B15,dagsoorttabel1,2,FALSE))-catfd_1_EV_48)/catpn_1_EB_1+catfd_1_EV_48/catpn_1_EV_48),0)</f>
        <v>0</v>
      </c>
      <c r="H15" s="36">
        <f>IF(AND(catpn_1_EB_1&gt;0,catpn_1_EV_48&gt;0),(catdw_1_EB_1*((dagenperjaar1*VLOOKUP(B15,dagsoorttabel1,2,FALSE))-catfd_1_EV_48)/catpn_1_EB_1+catdw_1_EV_48*catfd_1_EV_48/catpn_1_EV_48)/(((dagenperjaar1*VLOOKUP(B15,dagsoorttabel1,2,FALSE))-catfd_1_EV_48)/catpn_1_EB_1+catfd_1_EV_48/catpn_1_EV_48),0)</f>
        <v>0</v>
      </c>
      <c r="I15" s="20" t="s">
        <v>45</v>
      </c>
      <c r="J15" s="37">
        <f>IF(AND(catpn_1_EB_1&gt;0,catpn_1_EV_48&gt;0),(cattf_1_EB_1*((dagenperjaar1*VLOOKUP(B15,dagsoorttabel1,2,FALSE))-catfd_1_EV_48)/catpn_1_EB_1+cattf_1_EV_48*catfd_1_EV_48/catpn_1_EV_48)/(((dagenperjaar1*VLOOKUP(B15,dagsoorttabel1,2,FALSE))-catfd_1_EV_48)/catpn_1_EB_1+catfd_1_EV_48/catpn_1_EV_48)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139</v>
      </c>
      <c r="B16" s="20" t="s">
        <v>12</v>
      </c>
      <c r="C16" s="20" t="s">
        <v>130</v>
      </c>
      <c r="D16" s="20" t="s">
        <v>140</v>
      </c>
      <c r="E16" s="34">
        <v>81.5</v>
      </c>
      <c r="F16" s="34">
        <f>E16*VLOOKUP(B16,dagsoorttabel1,2,FALSE)</f>
        <v>81.5</v>
      </c>
      <c r="G16" s="35">
        <f>IF(AND(catpn_1_FB_1&gt;0,catpn_1_FV_42&gt;0),(dagenperjaar1*VLOOKUP(B16,dagsoorttabel1,2,FALSE))/(((dagenperjaar1*VLOOKUP(B16,dagsoorttabel1,2,FALSE))-catfd_1_FV_42)/catpn_1_FB_1+catfd_1_FV_42/catpn_1_FV_42),0)</f>
        <v>0</v>
      </c>
      <c r="H16" s="36">
        <f>IF(AND(catpn_1_FB_1&gt;0,catpn_1_FV_42&gt;0),(catdw_1_FB_1*((dagenperjaar1*VLOOKUP(B16,dagsoorttabel1,2,FALSE))-catfd_1_FV_42)/catpn_1_FB_1+catdw_1_FV_42*catfd_1_FV_42/catpn_1_FV_42)/(((dagenperjaar1*VLOOKUP(B16,dagsoorttabel1,2,FALSE))-catfd_1_FV_42)/catpn_1_FB_1+catfd_1_FV_42/catpn_1_FV_42),0)</f>
        <v>0</v>
      </c>
      <c r="I16" s="20" t="s">
        <v>45</v>
      </c>
      <c r="J16" s="37">
        <f>IF(AND(catpn_1_FB_1&gt;0,catpn_1_FV_42&gt;0),(cattf_1_FB_1*((dagenperjaar1*VLOOKUP(B16,dagsoorttabel1,2,FALSE))-catfd_1_FV_42)/catpn_1_FB_1+cattf_1_FV_42*catfd_1_FV_42/catpn_1_FV_42)/(((dagenperjaar1*VLOOKUP(B16,dagsoorttabel1,2,FALSE))-catfd_1_FV_42)/catpn_1_FB_1+catfd_1_FV_42/catpn_1_FV_42)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141</v>
      </c>
      <c r="B17" s="20" t="s">
        <v>12</v>
      </c>
      <c r="C17" s="20" t="s">
        <v>130</v>
      </c>
      <c r="D17" s="20" t="s">
        <v>142</v>
      </c>
      <c r="E17" s="34">
        <v>888.47</v>
      </c>
      <c r="F17" s="34">
        <f>E17*VLOOKUP(B17,dagsoorttabel1,2,FALSE)</f>
        <v>888.47</v>
      </c>
      <c r="G17" s="35">
        <f>IF(AND(catpn_1_GB_1&gt;0,catpn_1_GV_42&gt;0),(dagenperjaar1*VLOOKUP(B17,dagsoorttabel1,2,FALSE))/(((dagenperjaar1*VLOOKUP(B17,dagsoorttabel1,2,FALSE))-catfd_1_GV_42)/catpn_1_GB_1+catfd_1_GV_42/catpn_1_GV_42),0)</f>
        <v>0</v>
      </c>
      <c r="H17" s="36">
        <f>IF(AND(catpn_1_GB_1&gt;0,catpn_1_GV_42&gt;0),(catdw_1_GB_1*((dagenperjaar1*VLOOKUP(B17,dagsoorttabel1,2,FALSE))-catfd_1_GV_42)/catpn_1_GB_1+catdw_1_GV_42*catfd_1_GV_42/catpn_1_GV_42)/(((dagenperjaar1*VLOOKUP(B17,dagsoorttabel1,2,FALSE))-catfd_1_GV_42)/catpn_1_GB_1+catfd_1_GV_42/catpn_1_GV_42),0)</f>
        <v>0</v>
      </c>
      <c r="I17" s="20" t="s">
        <v>45</v>
      </c>
      <c r="J17" s="37">
        <f>IF(AND(catpn_1_GB_1&gt;0,catpn_1_GV_42&gt;0),(cattf_1_GB_1*((dagenperjaar1*VLOOKUP(B17,dagsoorttabel1,2,FALSE))-catfd_1_GV_42)/catpn_1_GB_1+cattf_1_GV_42*catfd_1_GV_42/catpn_1_GV_42)/(((dagenperjaar1*VLOOKUP(B17,dagsoorttabel1,2,FALSE))-catfd_1_GV_42)/catpn_1_GB_1+catfd_1_GV_42/catpn_1_GV_42)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143</v>
      </c>
      <c r="B18" s="20" t="s">
        <v>12</v>
      </c>
      <c r="C18" s="20" t="s">
        <v>130</v>
      </c>
      <c r="D18" s="20" t="s">
        <v>144</v>
      </c>
      <c r="E18" s="34">
        <v>852.30000000000007</v>
      </c>
      <c r="F18" s="34">
        <f>E18*VLOOKUP(B18,dagsoorttabel1,2,FALSE)</f>
        <v>852.30000000000007</v>
      </c>
      <c r="G18" s="35">
        <f>IF(AND(catpn_1_KB_1&gt;0,catpn_1_KV_42&gt;0),(dagenperjaar1*VLOOKUP(B18,dagsoorttabel1,2,FALSE))/(((dagenperjaar1*VLOOKUP(B18,dagsoorttabel1,2,FALSE))-catfd_1_KV_42)/catpn_1_KB_1+catfd_1_KV_42/catpn_1_KV_42),0)</f>
        <v>0</v>
      </c>
      <c r="H18" s="36">
        <f>IF(AND(catpn_1_KB_1&gt;0,catpn_1_KV_42&gt;0),(catdw_1_KB_1*((dagenperjaar1*VLOOKUP(B18,dagsoorttabel1,2,FALSE))-catfd_1_KV_42)/catpn_1_KB_1+catdw_1_KV_42*catfd_1_KV_42/catpn_1_KV_42)/(((dagenperjaar1*VLOOKUP(B18,dagsoorttabel1,2,FALSE))-catfd_1_KV_42)/catpn_1_KB_1+catfd_1_KV_42/catpn_1_KV_42),0)</f>
        <v>0</v>
      </c>
      <c r="I18" s="20" t="s">
        <v>45</v>
      </c>
      <c r="J18" s="37">
        <f>IF(AND(catpn_1_KB_1&gt;0,catpn_1_KV_42&gt;0),(cattf_1_KB_1*((dagenperjaar1*VLOOKUP(B18,dagsoorttabel1,2,FALSE))-catfd_1_KV_42)/catpn_1_KB_1+cattf_1_KV_42*catfd_1_KV_42/catpn_1_KV_42)/(((dagenperjaar1*VLOOKUP(B18,dagsoorttabel1,2,FALSE))-catfd_1_KV_42)/catpn_1_KB_1+catfd_1_KV_42/catpn_1_KV_42)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143</v>
      </c>
      <c r="B19" s="20" t="s">
        <v>9</v>
      </c>
      <c r="C19" s="20" t="s">
        <v>130</v>
      </c>
      <c r="D19" s="20" t="s">
        <v>144</v>
      </c>
      <c r="E19" s="34">
        <v>22</v>
      </c>
      <c r="F19" s="34">
        <f>E19*VLOOKUP(B19,dagsoorttabel1,2,FALSE)</f>
        <v>26.714285714285712</v>
      </c>
      <c r="G19" s="35">
        <f>IF(AND(catpn_1_KB_1&gt;0,catpn_1_KV_51&gt;0),(dagenperjaar1*VLOOKUP(B19,dagsoorttabel1,2,FALSE))/(((dagenperjaar1*VLOOKUP(B19,dagsoorttabel1,2,FALSE))-catfd_1_KV_51)/catpn_1_KB_1+catfd_1_KV_51/catpn_1_KV_51),0)</f>
        <v>0</v>
      </c>
      <c r="H19" s="36">
        <f>IF(AND(catpn_1_KB_1&gt;0,catpn_1_KV_51&gt;0),(catdw_1_KB_1*((dagenperjaar1*VLOOKUP(B19,dagsoorttabel1,2,FALSE))-catfd_1_KV_51)/catpn_1_KB_1+catdw_1_KV_51*catfd_1_KV_51/catpn_1_KV_51)/(((dagenperjaar1*VLOOKUP(B19,dagsoorttabel1,2,FALSE))-catfd_1_KV_51)/catpn_1_KB_1+catfd_1_KV_51/catpn_1_KV_51),0)</f>
        <v>0</v>
      </c>
      <c r="I19" s="20" t="s">
        <v>45</v>
      </c>
      <c r="J19" s="37">
        <f>IF(AND(catpn_1_KB_1&gt;0,catpn_1_KV_51&gt;0),(cattf_1_KB_1*((dagenperjaar1*VLOOKUP(B19,dagsoorttabel1,2,FALSE))-catfd_1_KV_51)/catpn_1_KB_1+cattf_1_KV_51*catfd_1_KV_51/catpn_1_KV_51)/(((dagenperjaar1*VLOOKUP(B19,dagsoorttabel1,2,FALSE))-catfd_1_KV_51)/catpn_1_KB_1+catfd_1_KV_51/catpn_1_KV_51)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145</v>
      </c>
      <c r="B20" s="20" t="s">
        <v>17</v>
      </c>
      <c r="C20" s="20" t="s">
        <v>130</v>
      </c>
      <c r="D20" s="20" t="s">
        <v>146</v>
      </c>
      <c r="E20" s="34">
        <v>4468.6400000000003</v>
      </c>
      <c r="F20" s="34">
        <f>E20*VLOOKUP(B20,dagsoorttabel1,2,FALSE)</f>
        <v>2681.1840000000002</v>
      </c>
      <c r="G20" s="35">
        <f>IF(AND(catpn_1_LCB_1&gt;0,catpn_1_LCV_42&gt;0),(dagenperjaar1*VLOOKUP(B20,dagsoorttabel1,2,FALSE))/(((dagenperjaar1*VLOOKUP(B20,dagsoorttabel1,2,FALSE))-catfd_1_LCV_42)/catpn_1_LCB_1+catfd_1_LCV_42/catpn_1_LCV_42),0)</f>
        <v>0</v>
      </c>
      <c r="H20" s="36">
        <f>IF(AND(catpn_1_LCB_1&gt;0,catpn_1_LCV_42&gt;0),(catdw_1_LCB_1*((dagenperjaar1*VLOOKUP(B20,dagsoorttabel1,2,FALSE))-catfd_1_LCV_42)/catpn_1_LCB_1+catdw_1_LCV_42*catfd_1_LCV_42/catpn_1_LCV_42)/(((dagenperjaar1*VLOOKUP(B20,dagsoorttabel1,2,FALSE))-catfd_1_LCV_42)/catpn_1_LCB_1+catfd_1_LCV_42/catpn_1_LCV_42),0)</f>
        <v>0</v>
      </c>
      <c r="I20" s="20" t="s">
        <v>45</v>
      </c>
      <c r="J20" s="37">
        <f>IF(AND(catpn_1_LCB_1&gt;0,catpn_1_LCV_42&gt;0),(cattf_1_LCB_1*((dagenperjaar1*VLOOKUP(B20,dagsoorttabel1,2,FALSE))-catfd_1_LCV_42)/catpn_1_LCB_1+cattf_1_LCV_42*catfd_1_LCV_42/catpn_1_LCV_42)/(((dagenperjaar1*VLOOKUP(B20,dagsoorttabel1,2,FALSE))-catfd_1_LCV_42)/catpn_1_LCB_1+catfd_1_LCV_42/catpn_1_LCV_42)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147</v>
      </c>
      <c r="B21" s="20" t="s">
        <v>12</v>
      </c>
      <c r="C21" s="20" t="s">
        <v>130</v>
      </c>
      <c r="D21" s="20" t="s">
        <v>146</v>
      </c>
      <c r="E21" s="34">
        <v>199.20000000000002</v>
      </c>
      <c r="F21" s="34">
        <f>E21*VLOOKUP(B21,dagsoorttabel1,2,FALSE)</f>
        <v>199.20000000000002</v>
      </c>
      <c r="G21" s="35">
        <f>IF(AND(catpn_1_LCB_1&gt;0,catpn_1_LCV_42&gt;0),(dagenperjaar1*VLOOKUP(B21,dagsoorttabel1,2,FALSE))/(((dagenperjaar1*VLOOKUP(B21,dagsoorttabel1,2,FALSE))-catfd_1_LCV_42)/catpn_1_LCB_1+catfd_1_LCV_42/catpn_1_LCV_42),0)</f>
        <v>0</v>
      </c>
      <c r="H21" s="36">
        <f>IF(AND(catpn_1_LCB_1&gt;0,catpn_1_LCV_42&gt;0),(catdw_1_LCB_1*((dagenperjaar1*VLOOKUP(B21,dagsoorttabel1,2,FALSE))-catfd_1_LCV_42)/catpn_1_LCB_1+catdw_1_LCV_42*catfd_1_LCV_42/catpn_1_LCV_42)/(((dagenperjaar1*VLOOKUP(B21,dagsoorttabel1,2,FALSE))-catfd_1_LCV_42)/catpn_1_LCB_1+catfd_1_LCV_42/catpn_1_LCV_42),0)</f>
        <v>0</v>
      </c>
      <c r="I21" s="20" t="s">
        <v>45</v>
      </c>
      <c r="J21" s="37">
        <f>IF(AND(catpn_1_LCB_1&gt;0,catpn_1_LCV_42&gt;0),(cattf_1_LCB_1*((dagenperjaar1*VLOOKUP(B21,dagsoorttabel1,2,FALSE))-catfd_1_LCV_42)/catpn_1_LCB_1+cattf_1_LCV_42*catfd_1_LCV_42/catpn_1_LCV_42)/(((dagenperjaar1*VLOOKUP(B21,dagsoorttabel1,2,FALSE))-catfd_1_LCV_42)/catpn_1_LCB_1+catfd_1_LCV_42/catpn_1_LCV_42)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148</v>
      </c>
      <c r="B22" s="20" t="s">
        <v>24</v>
      </c>
      <c r="C22" s="20" t="s">
        <v>130</v>
      </c>
      <c r="D22" s="20" t="s">
        <v>149</v>
      </c>
      <c r="E22" s="34">
        <v>6</v>
      </c>
      <c r="F22" s="34">
        <f>E22*VLOOKUP(B22,dagsoorttabel1,2,FALSE)</f>
        <v>1.2000000000000002</v>
      </c>
      <c r="G22" s="35">
        <f>IF(AND(catpn_1_LTB_1&gt;0,catpn_1_LTV_42&gt;0),(dagenperjaar1*VLOOKUP(B22,dagsoorttabel1,2,FALSE))/(((dagenperjaar1*VLOOKUP(B22,dagsoorttabel1,2,FALSE))-catfd_1_LTV_42)/catpn_1_LTB_1+catfd_1_LTV_42/catpn_1_LTV_42),0)</f>
        <v>0</v>
      </c>
      <c r="H22" s="36">
        <f>IF(AND(catpn_1_LTB_1&gt;0,catpn_1_LTV_42&gt;0),(catdw_1_LTB_1*((dagenperjaar1*VLOOKUP(B22,dagsoorttabel1,2,FALSE))-catfd_1_LTV_42)/catpn_1_LTB_1+catdw_1_LTV_42*catfd_1_LTV_42/catpn_1_LTV_42)/(((dagenperjaar1*VLOOKUP(B22,dagsoorttabel1,2,FALSE))-catfd_1_LTV_42)/catpn_1_LTB_1+catfd_1_LTV_42/catpn_1_LTV_42),0)</f>
        <v>0</v>
      </c>
      <c r="I22" s="20" t="s">
        <v>45</v>
      </c>
      <c r="J22" s="37">
        <f>IF(AND(catpn_1_LTB_1&gt;0,catpn_1_LTV_42&gt;0),(cattf_1_LTB_1*((dagenperjaar1*VLOOKUP(B22,dagsoorttabel1,2,FALSE))-catfd_1_LTV_42)/catpn_1_LTB_1+cattf_1_LTV_42*catfd_1_LTV_42/catpn_1_LTV_42)/(((dagenperjaar1*VLOOKUP(B22,dagsoorttabel1,2,FALSE))-catfd_1_LTV_42)/catpn_1_LTB_1+catfd_1_LTV_42/catpn_1_LTV_42)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150</v>
      </c>
      <c r="B23" s="20" t="s">
        <v>17</v>
      </c>
      <c r="C23" s="20" t="s">
        <v>130</v>
      </c>
      <c r="D23" s="20" t="s">
        <v>149</v>
      </c>
      <c r="E23" s="34">
        <v>25421.500000000007</v>
      </c>
      <c r="F23" s="34">
        <f>E23*VLOOKUP(B23,dagsoorttabel1,2,FALSE)</f>
        <v>15252.900000000003</v>
      </c>
      <c r="G23" s="35">
        <f>IF(AND(catpn_1_LTB_1&gt;0,catpn_1_LTV_42&gt;0),(dagenperjaar1*VLOOKUP(B23,dagsoorttabel1,2,FALSE))/(((dagenperjaar1*VLOOKUP(B23,dagsoorttabel1,2,FALSE))-catfd_1_LTV_42)/catpn_1_LTB_1+catfd_1_LTV_42/catpn_1_LTV_42),0)</f>
        <v>0</v>
      </c>
      <c r="H23" s="36">
        <f>IF(AND(catpn_1_LTB_1&gt;0,catpn_1_LTV_42&gt;0),(catdw_1_LTB_1*((dagenperjaar1*VLOOKUP(B23,dagsoorttabel1,2,FALSE))-catfd_1_LTV_42)/catpn_1_LTB_1+catdw_1_LTV_42*catfd_1_LTV_42/catpn_1_LTV_42)/(((dagenperjaar1*VLOOKUP(B23,dagsoorttabel1,2,FALSE))-catfd_1_LTV_42)/catpn_1_LTB_1+catfd_1_LTV_42/catpn_1_LTV_42),0)</f>
        <v>0</v>
      </c>
      <c r="I23" s="20" t="s">
        <v>45</v>
      </c>
      <c r="J23" s="37">
        <f>IF(AND(catpn_1_LTB_1&gt;0,catpn_1_LTV_42&gt;0),(cattf_1_LTB_1*((dagenperjaar1*VLOOKUP(B23,dagsoorttabel1,2,FALSE))-catfd_1_LTV_42)/catpn_1_LTB_1+cattf_1_LTV_42*catfd_1_LTV_42/catpn_1_LTV_42)/(((dagenperjaar1*VLOOKUP(B23,dagsoorttabel1,2,FALSE))-catfd_1_LTV_42)/catpn_1_LTB_1+catfd_1_LTV_42/catpn_1_LTV_42)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150</v>
      </c>
      <c r="B24" s="20" t="s">
        <v>15</v>
      </c>
      <c r="C24" s="20" t="s">
        <v>130</v>
      </c>
      <c r="D24" s="20" t="s">
        <v>149</v>
      </c>
      <c r="E24" s="34">
        <v>334.96</v>
      </c>
      <c r="F24" s="34">
        <f>E24*VLOOKUP(B24,dagsoorttabel1,2,FALSE)</f>
        <v>229.68685714285712</v>
      </c>
      <c r="G24" s="35">
        <f>IF(AND(catpn_1_LTB_1&gt;0,catpn_1_LTV_48&gt;0),(dagenperjaar1*VLOOKUP(B24,dagsoorttabel1,2,FALSE))/(((dagenperjaar1*VLOOKUP(B24,dagsoorttabel1,2,FALSE))-catfd_1_LTV_48)/catpn_1_LTB_1+catfd_1_LTV_48/catpn_1_LTV_48),0)</f>
        <v>0</v>
      </c>
      <c r="H24" s="36">
        <f>IF(AND(catpn_1_LTB_1&gt;0,catpn_1_LTV_48&gt;0),(catdw_1_LTB_1*((dagenperjaar1*VLOOKUP(B24,dagsoorttabel1,2,FALSE))-catfd_1_LTV_48)/catpn_1_LTB_1+catdw_1_LTV_48*catfd_1_LTV_48/catpn_1_LTV_48)/(((dagenperjaar1*VLOOKUP(B24,dagsoorttabel1,2,FALSE))-catfd_1_LTV_48)/catpn_1_LTB_1+catfd_1_LTV_48/catpn_1_LTV_48),0)</f>
        <v>0</v>
      </c>
      <c r="I24" s="20" t="s">
        <v>45</v>
      </c>
      <c r="J24" s="37">
        <f>IF(AND(catpn_1_LTB_1&gt;0,catpn_1_LTV_48&gt;0),(cattf_1_LTB_1*((dagenperjaar1*VLOOKUP(B24,dagsoorttabel1,2,FALSE))-catfd_1_LTV_48)/catpn_1_LTB_1+cattf_1_LTV_48*catfd_1_LTV_48/catpn_1_LTV_48)/(((dagenperjaar1*VLOOKUP(B24,dagsoorttabel1,2,FALSE))-catfd_1_LTV_48)/catpn_1_LTB_1+catfd_1_LTV_48/catpn_1_LTV_48)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151</v>
      </c>
      <c r="B25" s="20" t="s">
        <v>12</v>
      </c>
      <c r="C25" s="20" t="s">
        <v>130</v>
      </c>
      <c r="D25" s="20" t="s">
        <v>149</v>
      </c>
      <c r="E25" s="34">
        <v>347.07</v>
      </c>
      <c r="F25" s="34">
        <f>E25*VLOOKUP(B25,dagsoorttabel1,2,FALSE)</f>
        <v>347.07</v>
      </c>
      <c r="G25" s="35">
        <f>IF(AND(catpn_1_LTB_1&gt;0,catpn_1_LTV_51&gt;0),(dagenperjaar1*VLOOKUP(B25,dagsoorttabel1,2,FALSE))/(((dagenperjaar1*VLOOKUP(B25,dagsoorttabel1,2,FALSE))-catfd_1_LTV_51)/catpn_1_LTB_1+catfd_1_LTV_51/catpn_1_LTV_51),0)</f>
        <v>0</v>
      </c>
      <c r="H25" s="36">
        <f>IF(AND(catpn_1_LTB_1&gt;0,catpn_1_LTV_51&gt;0),(catdw_1_LTB_1*((dagenperjaar1*VLOOKUP(B25,dagsoorttabel1,2,FALSE))-catfd_1_LTV_51)/catpn_1_LTB_1+catdw_1_LTV_51*catfd_1_LTV_51/catpn_1_LTV_51)/(((dagenperjaar1*VLOOKUP(B25,dagsoorttabel1,2,FALSE))-catfd_1_LTV_51)/catpn_1_LTB_1+catfd_1_LTV_51/catpn_1_LTV_51),0)</f>
        <v>0</v>
      </c>
      <c r="I25" s="20" t="s">
        <v>45</v>
      </c>
      <c r="J25" s="37">
        <f>IF(AND(catpn_1_LTB_1&gt;0,catpn_1_LTV_51&gt;0),(cattf_1_LTB_1*((dagenperjaar1*VLOOKUP(B25,dagsoorttabel1,2,FALSE))-catfd_1_LTV_51)/catpn_1_LTB_1+cattf_1_LTV_51*catfd_1_LTV_51/catpn_1_LTV_51)/(((dagenperjaar1*VLOOKUP(B25,dagsoorttabel1,2,FALSE))-catfd_1_LTV_51)/catpn_1_LTB_1+catfd_1_LTV_51/catpn_1_LTV_51)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152</v>
      </c>
      <c r="B26" s="20" t="s">
        <v>18</v>
      </c>
      <c r="C26" s="20" t="s">
        <v>130</v>
      </c>
      <c r="D26" s="20" t="s">
        <v>153</v>
      </c>
      <c r="E26" s="34">
        <v>175.1</v>
      </c>
      <c r="F26" s="34">
        <f>E26*VLOOKUP(B26,dagsoorttabel1,2,FALSE)</f>
        <v>85.048571428571421</v>
      </c>
      <c r="G26" s="35">
        <f>IF(AND(catpn_1_OB_1&gt;0,catpn_1_OV_51&gt;0),(dagenperjaar1*VLOOKUP(B26,dagsoorttabel1,2,FALSE))/(((dagenperjaar1*VLOOKUP(B26,dagsoorttabel1,2,FALSE))-catfd_1_OV_51)/catpn_1_OB_1+catfd_1_OV_51/catpn_1_OV_51),0)</f>
        <v>0</v>
      </c>
      <c r="H26" s="36">
        <f>IF(AND(catpn_1_OB_1&gt;0,catpn_1_OV_51&gt;0),(catdw_1_OB_1*((dagenperjaar1*VLOOKUP(B26,dagsoorttabel1,2,FALSE))-catfd_1_OV_51)/catpn_1_OB_1+catdw_1_OV_51*catfd_1_OV_51/catpn_1_OV_51)/(((dagenperjaar1*VLOOKUP(B26,dagsoorttabel1,2,FALSE))-catfd_1_OV_51)/catpn_1_OB_1+catfd_1_OV_51/catpn_1_OV_51),0)</f>
        <v>0</v>
      </c>
      <c r="I26" s="20" t="s">
        <v>45</v>
      </c>
      <c r="J26" s="37">
        <f>IF(AND(catpn_1_OB_1&gt;0,catpn_1_OV_51&gt;0),(cattf_1_OB_1*((dagenperjaar1*VLOOKUP(B26,dagsoorttabel1,2,FALSE))-catfd_1_OV_51)/catpn_1_OB_1+cattf_1_OV_51*catfd_1_OV_51/catpn_1_OV_51)/(((dagenperjaar1*VLOOKUP(B26,dagsoorttabel1,2,FALSE))-catfd_1_OV_51)/catpn_1_OB_1+catfd_1_OV_51/catpn_1_OV_51)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152</v>
      </c>
      <c r="B27" s="20" t="s">
        <v>21</v>
      </c>
      <c r="C27" s="20" t="s">
        <v>130</v>
      </c>
      <c r="D27" s="20" t="s">
        <v>153</v>
      </c>
      <c r="E27" s="34">
        <v>649.84</v>
      </c>
      <c r="F27" s="34">
        <f>E27*VLOOKUP(B27,dagsoorttabel1,2,FALSE)</f>
        <v>259.93600000000004</v>
      </c>
      <c r="G27" s="35">
        <f>IF(AND(catpn_1_OB_1&gt;0,catpn_1_OV_42&gt;0),(dagenperjaar1*VLOOKUP(B27,dagsoorttabel1,2,FALSE))/(((dagenperjaar1*VLOOKUP(B27,dagsoorttabel1,2,FALSE))-catfd_1_OV_42)/catpn_1_OB_1+catfd_1_OV_42/catpn_1_OV_42),0)</f>
        <v>0</v>
      </c>
      <c r="H27" s="36">
        <f>IF(AND(catpn_1_OB_1&gt;0,catpn_1_OV_42&gt;0),(catdw_1_OB_1*((dagenperjaar1*VLOOKUP(B27,dagsoorttabel1,2,FALSE))-catfd_1_OV_42)/catpn_1_OB_1+catdw_1_OV_42*catfd_1_OV_42/catpn_1_OV_42)/(((dagenperjaar1*VLOOKUP(B27,dagsoorttabel1,2,FALSE))-catfd_1_OV_42)/catpn_1_OB_1+catfd_1_OV_42/catpn_1_OV_42),0)</f>
        <v>0</v>
      </c>
      <c r="I27" s="20" t="s">
        <v>45</v>
      </c>
      <c r="J27" s="37">
        <f>IF(AND(catpn_1_OB_1&gt;0,catpn_1_OV_42&gt;0),(cattf_1_OB_1*((dagenperjaar1*VLOOKUP(B27,dagsoorttabel1,2,FALSE))-catfd_1_OV_42)/catpn_1_OB_1+cattf_1_OV_42*catfd_1_OV_42/catpn_1_OV_42)/(((dagenperjaar1*VLOOKUP(B27,dagsoorttabel1,2,FALSE))-catfd_1_OV_42)/catpn_1_OB_1+catfd_1_OV_42/catpn_1_OV_42)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154</v>
      </c>
      <c r="B28" s="20" t="s">
        <v>12</v>
      </c>
      <c r="C28" s="20" t="s">
        <v>130</v>
      </c>
      <c r="D28" s="20" t="s">
        <v>153</v>
      </c>
      <c r="E28" s="34">
        <v>70.5</v>
      </c>
      <c r="F28" s="34">
        <f>E28*VLOOKUP(B28,dagsoorttabel1,2,FALSE)</f>
        <v>70.5</v>
      </c>
      <c r="G28" s="35">
        <f>IF(AND(catpn_1_OB_1&gt;0,catpn_1_OV_42&gt;0),(dagenperjaar1*VLOOKUP(B28,dagsoorttabel1,2,FALSE))/(((dagenperjaar1*VLOOKUP(B28,dagsoorttabel1,2,FALSE))-catfd_1_OV_42)/catpn_1_OB_1+catfd_1_OV_42/catpn_1_OV_42),0)</f>
        <v>0</v>
      </c>
      <c r="H28" s="36">
        <f>IF(AND(catpn_1_OB_1&gt;0,catpn_1_OV_42&gt;0),(catdw_1_OB_1*((dagenperjaar1*VLOOKUP(B28,dagsoorttabel1,2,FALSE))-catfd_1_OV_42)/catpn_1_OB_1+catdw_1_OV_42*catfd_1_OV_42/catpn_1_OV_42)/(((dagenperjaar1*VLOOKUP(B28,dagsoorttabel1,2,FALSE))-catfd_1_OV_42)/catpn_1_OB_1+catfd_1_OV_42/catpn_1_OV_42),0)</f>
        <v>0</v>
      </c>
      <c r="I28" s="20" t="s">
        <v>45</v>
      </c>
      <c r="J28" s="37">
        <f>IF(AND(catpn_1_OB_1&gt;0,catpn_1_OV_42&gt;0),(cattf_1_OB_1*((dagenperjaar1*VLOOKUP(B28,dagsoorttabel1,2,FALSE))-catfd_1_OV_42)/catpn_1_OB_1+cattf_1_OV_42*catfd_1_OV_42/catpn_1_OV_42)/(((dagenperjaar1*VLOOKUP(B28,dagsoorttabel1,2,FALSE))-catfd_1_OV_42)/catpn_1_OB_1+catfd_1_OV_42/catpn_1_OV_42)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155</v>
      </c>
      <c r="B29" s="20" t="s">
        <v>17</v>
      </c>
      <c r="C29" s="20" t="s">
        <v>130</v>
      </c>
      <c r="D29" s="20" t="s">
        <v>156</v>
      </c>
      <c r="E29" s="34">
        <v>3798.0199999999995</v>
      </c>
      <c r="F29" s="34">
        <f>E29*VLOOKUP(B29,dagsoorttabel1,2,FALSE)</f>
        <v>2278.8119999999994</v>
      </c>
      <c r="G29" s="35">
        <f>IF(AND(catpn_1_PAB_1&gt;0,catpn_1_PAV_42&gt;0),(dagenperjaar1*VLOOKUP(B29,dagsoorttabel1,2,FALSE))/(((dagenperjaar1*VLOOKUP(B29,dagsoorttabel1,2,FALSE))-catfd_1_PAV_42)/catpn_1_PAB_1+catfd_1_PAV_42/catpn_1_PAV_42),0)</f>
        <v>0</v>
      </c>
      <c r="H29" s="36">
        <f>IF(AND(catpn_1_PAB_1&gt;0,catpn_1_PAV_42&gt;0),(catdw_1_PAB_1*((dagenperjaar1*VLOOKUP(B29,dagsoorttabel1,2,FALSE))-catfd_1_PAV_42)/catpn_1_PAB_1+catdw_1_PAV_42*catfd_1_PAV_42/catpn_1_PAV_42)/(((dagenperjaar1*VLOOKUP(B29,dagsoorttabel1,2,FALSE))-catfd_1_PAV_42)/catpn_1_PAB_1+catfd_1_PAV_42/catpn_1_PAV_42),0)</f>
        <v>0</v>
      </c>
      <c r="I29" s="20" t="s">
        <v>45</v>
      </c>
      <c r="J29" s="37">
        <f>IF(AND(catpn_1_PAB_1&gt;0,catpn_1_PAV_42&gt;0),(cattf_1_PAB_1*((dagenperjaar1*VLOOKUP(B29,dagsoorttabel1,2,FALSE))-catfd_1_PAV_42)/catpn_1_PAB_1+cattf_1_PAV_42*catfd_1_PAV_42/catpn_1_PAV_42)/(((dagenperjaar1*VLOOKUP(B29,dagsoorttabel1,2,FALSE))-catfd_1_PAV_42)/catpn_1_PAB_1+catfd_1_PAV_42/catpn_1_PAV_42),0)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157</v>
      </c>
      <c r="B30" s="20" t="s">
        <v>12</v>
      </c>
      <c r="C30" s="20" t="s">
        <v>130</v>
      </c>
      <c r="D30" s="20" t="s">
        <v>158</v>
      </c>
      <c r="E30" s="34">
        <v>273.5</v>
      </c>
      <c r="F30" s="34">
        <f>E30*VLOOKUP(B30,dagsoorttabel1,2,FALSE)</f>
        <v>273.5</v>
      </c>
      <c r="G30" s="35">
        <f>IF(AND(catpn_1_PAB_1&gt;0,catpn_1_PAV_42&gt;0),(dagenperjaar1*VLOOKUP(B30,dagsoorttabel1,2,FALSE))/(((dagenperjaar1*VLOOKUP(B30,dagsoorttabel1,2,FALSE))-catfd_1_PAV_42)/catpn_1_PAB_1+catfd_1_PAV_42/catpn_1_PAV_42),0)</f>
        <v>0</v>
      </c>
      <c r="H30" s="36">
        <f>IF(AND(catpn_1_PAB_1&gt;0,catpn_1_PAV_42&gt;0),(catdw_1_PAB_1*((dagenperjaar1*VLOOKUP(B30,dagsoorttabel1,2,FALSE))-catfd_1_PAV_42)/catpn_1_PAB_1+catdw_1_PAV_42*catfd_1_PAV_42/catpn_1_PAV_42)/(((dagenperjaar1*VLOOKUP(B30,dagsoorttabel1,2,FALSE))-catfd_1_PAV_42)/catpn_1_PAB_1+catfd_1_PAV_42/catpn_1_PAV_42),0)</f>
        <v>0</v>
      </c>
      <c r="I30" s="20" t="s">
        <v>45</v>
      </c>
      <c r="J30" s="37">
        <f>IF(AND(catpn_1_PAB_1&gt;0,catpn_1_PAV_42&gt;0),(cattf_1_PAB_1*((dagenperjaar1*VLOOKUP(B30,dagsoorttabel1,2,FALSE))-catfd_1_PAV_42)/catpn_1_PAB_1+cattf_1_PAV_42*catfd_1_PAV_42/catpn_1_PAV_42)/(((dagenperjaar1*VLOOKUP(B30,dagsoorttabel1,2,FALSE))-catfd_1_PAV_42)/catpn_1_PAB_1+catfd_1_PAV_42/catpn_1_PAV_42)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159</v>
      </c>
      <c r="B31" s="20" t="s">
        <v>17</v>
      </c>
      <c r="C31" s="20" t="s">
        <v>130</v>
      </c>
      <c r="D31" s="20" t="s">
        <v>160</v>
      </c>
      <c r="E31" s="34">
        <v>466.86999999999995</v>
      </c>
      <c r="F31" s="34">
        <f>E31*VLOOKUP(B31,dagsoorttabel1,2,FALSE)</f>
        <v>280.12199999999996</v>
      </c>
      <c r="G31" s="35">
        <f>IF(AND(catpn_1_PBB_1&gt;0,catpn_1_PBV_42&gt;0),(dagenperjaar1*VLOOKUP(B31,dagsoorttabel1,2,FALSE))/(((dagenperjaar1*VLOOKUP(B31,dagsoorttabel1,2,FALSE))-catfd_1_PBV_42)/catpn_1_PBB_1+catfd_1_PBV_42/catpn_1_PBV_42),0)</f>
        <v>0</v>
      </c>
      <c r="H31" s="36">
        <f>IF(AND(catpn_1_PBB_1&gt;0,catpn_1_PBV_42&gt;0),(catdw_1_PBB_1*((dagenperjaar1*VLOOKUP(B31,dagsoorttabel1,2,FALSE))-catfd_1_PBV_42)/catpn_1_PBB_1+catdw_1_PBV_42*catfd_1_PBV_42/catpn_1_PBV_42)/(((dagenperjaar1*VLOOKUP(B31,dagsoorttabel1,2,FALSE))-catfd_1_PBV_42)/catpn_1_PBB_1+catfd_1_PBV_42/catpn_1_PBV_42),0)</f>
        <v>0</v>
      </c>
      <c r="I31" s="20" t="s">
        <v>45</v>
      </c>
      <c r="J31" s="37">
        <f>IF(AND(catpn_1_PBB_1&gt;0,catpn_1_PBV_42&gt;0),(cattf_1_PBB_1*((dagenperjaar1*VLOOKUP(B31,dagsoorttabel1,2,FALSE))-catfd_1_PBV_42)/catpn_1_PBB_1+cattf_1_PBV_42*catfd_1_PBV_42/catpn_1_PBV_42)/(((dagenperjaar1*VLOOKUP(B31,dagsoorttabel1,2,FALSE))-catfd_1_PBV_42)/catpn_1_PBB_1+catfd_1_PBV_42/catpn_1_PBV_42)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0" t="s">
        <v>161</v>
      </c>
      <c r="B32" s="20" t="s">
        <v>17</v>
      </c>
      <c r="C32" s="20" t="s">
        <v>130</v>
      </c>
      <c r="D32" s="20" t="s">
        <v>162</v>
      </c>
      <c r="E32" s="34">
        <v>264.5</v>
      </c>
      <c r="F32" s="34">
        <f>E32*VLOOKUP(B32,dagsoorttabel1,2,FALSE)</f>
        <v>158.69999999999999</v>
      </c>
      <c r="G32" s="35">
        <f>IF(AND(catpn_1_PCB_1&gt;0,catpn_1_PCV_42&gt;0),(dagenperjaar1*VLOOKUP(B32,dagsoorttabel1,2,FALSE))/(((dagenperjaar1*VLOOKUP(B32,dagsoorttabel1,2,FALSE))-catfd_1_PCV_42)/catpn_1_PCB_1+catfd_1_PCV_42/catpn_1_PCV_42),0)</f>
        <v>0</v>
      </c>
      <c r="H32" s="36">
        <f>IF(AND(catpn_1_PCB_1&gt;0,catpn_1_PCV_42&gt;0),(catdw_1_PCB_1*((dagenperjaar1*VLOOKUP(B32,dagsoorttabel1,2,FALSE))-catfd_1_PCV_42)/catpn_1_PCB_1+catdw_1_PCV_42*catfd_1_PCV_42/catpn_1_PCV_42)/(((dagenperjaar1*VLOOKUP(B32,dagsoorttabel1,2,FALSE))-catfd_1_PCV_42)/catpn_1_PCB_1+catfd_1_PCV_42/catpn_1_PCV_42),0)</f>
        <v>0</v>
      </c>
      <c r="I32" s="20" t="s">
        <v>45</v>
      </c>
      <c r="J32" s="37">
        <f>IF(AND(catpn_1_PCB_1&gt;0,catpn_1_PCV_42&gt;0),(cattf_1_PCB_1*((dagenperjaar1*VLOOKUP(B32,dagsoorttabel1,2,FALSE))-catfd_1_PCV_42)/catpn_1_PCB_1+cattf_1_PCV_42*catfd_1_PCV_42/catpn_1_PCV_42)/(((dagenperjaar1*VLOOKUP(B32,dagsoorttabel1,2,FALSE))-catfd_1_PCV_42)/catpn_1_PCB_1+catfd_1_PCV_42/catpn_1_PCV_42)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2">
      <c r="A33" s="20" t="s">
        <v>163</v>
      </c>
      <c r="B33" s="20" t="s">
        <v>12</v>
      </c>
      <c r="C33" s="20" t="s">
        <v>130</v>
      </c>
      <c r="D33" s="20" t="s">
        <v>162</v>
      </c>
      <c r="E33" s="34">
        <v>3841.5799999999995</v>
      </c>
      <c r="F33" s="34">
        <f>E33*VLOOKUP(B33,dagsoorttabel1,2,FALSE)</f>
        <v>3841.5799999999995</v>
      </c>
      <c r="G33" s="35">
        <f>IF(AND(catpn_1_PCB_1&gt;0,catpn_1_PCV_42&gt;0),(dagenperjaar1*VLOOKUP(B33,dagsoorttabel1,2,FALSE))/(((dagenperjaar1*VLOOKUP(B33,dagsoorttabel1,2,FALSE))-catfd_1_PCV_42)/catpn_1_PCB_1+catfd_1_PCV_42/catpn_1_PCV_42),0)</f>
        <v>0</v>
      </c>
      <c r="H33" s="36">
        <f>IF(AND(catpn_1_PCB_1&gt;0,catpn_1_PCV_42&gt;0),(catdw_1_PCB_1*((dagenperjaar1*VLOOKUP(B33,dagsoorttabel1,2,FALSE))-catfd_1_PCV_42)/catpn_1_PCB_1+catdw_1_PCV_42*catfd_1_PCV_42/catpn_1_PCV_42)/(((dagenperjaar1*VLOOKUP(B33,dagsoorttabel1,2,FALSE))-catfd_1_PCV_42)/catpn_1_PCB_1+catfd_1_PCV_42/catpn_1_PCV_42),0)</f>
        <v>0</v>
      </c>
      <c r="I33" s="20" t="s">
        <v>45</v>
      </c>
      <c r="J33" s="37">
        <f>IF(AND(catpn_1_PCB_1&gt;0,catpn_1_PCV_42&gt;0),(cattf_1_PCB_1*((dagenperjaar1*VLOOKUP(B33,dagsoorttabel1,2,FALSE))-catfd_1_PCV_42)/catpn_1_PCB_1+cattf_1_PCV_42*catfd_1_PCV_42/catpn_1_PCV_42)/(((dagenperjaar1*VLOOKUP(B33,dagsoorttabel1,2,FALSE))-catfd_1_PCV_42)/catpn_1_PCB_1+catfd_1_PCV_42/catpn_1_PCV_42)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2">
      <c r="A34" s="20" t="s">
        <v>164</v>
      </c>
      <c r="B34" s="20" t="s">
        <v>12</v>
      </c>
      <c r="C34" s="20" t="s">
        <v>130</v>
      </c>
      <c r="D34" s="20" t="s">
        <v>165</v>
      </c>
      <c r="E34" s="34">
        <v>57.6</v>
      </c>
      <c r="F34" s="34">
        <f>E34*VLOOKUP(B34,dagsoorttabel1,2,FALSE)</f>
        <v>57.6</v>
      </c>
      <c r="G34" s="35">
        <f>IF(AND(catpn_1_PDB_1&gt;0,catpn_1_PDV_42&gt;0),(dagenperjaar1*VLOOKUP(B34,dagsoorttabel1,2,FALSE))/(((dagenperjaar1*VLOOKUP(B34,dagsoorttabel1,2,FALSE))-catfd_1_PDV_42)/catpn_1_PDB_1+catfd_1_PDV_42/catpn_1_PDV_42),0)</f>
        <v>0</v>
      </c>
      <c r="H34" s="36">
        <f>IF(AND(catpn_1_PDB_1&gt;0,catpn_1_PDV_42&gt;0),(catdw_1_PDB_1*((dagenperjaar1*VLOOKUP(B34,dagsoorttabel1,2,FALSE))-catfd_1_PDV_42)/catpn_1_PDB_1+catdw_1_PDV_42*catfd_1_PDV_42/catpn_1_PDV_42)/(((dagenperjaar1*VLOOKUP(B34,dagsoorttabel1,2,FALSE))-catfd_1_PDV_42)/catpn_1_PDB_1+catfd_1_PDV_42/catpn_1_PDV_42),0)</f>
        <v>0</v>
      </c>
      <c r="I34" s="20" t="s">
        <v>45</v>
      </c>
      <c r="J34" s="37">
        <f>IF(AND(catpn_1_PDB_1&gt;0,catpn_1_PDV_42&gt;0),(cattf_1_PDB_1*((dagenperjaar1*VLOOKUP(B34,dagsoorttabel1,2,FALSE))-catfd_1_PDV_42)/catpn_1_PDB_1+cattf_1_PDV_42*catfd_1_PDV_42/catpn_1_PDV_42)/(((dagenperjaar1*VLOOKUP(B34,dagsoorttabel1,2,FALSE))-catfd_1_PDV_42)/catpn_1_PDB_1+catfd_1_PDV_42/catpn_1_PDV_42)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2">
      <c r="A35" s="20" t="s">
        <v>166</v>
      </c>
      <c r="B35" s="20" t="s">
        <v>12</v>
      </c>
      <c r="C35" s="20" t="s">
        <v>130</v>
      </c>
      <c r="D35" s="20" t="s">
        <v>167</v>
      </c>
      <c r="E35" s="34">
        <v>243.07999999999998</v>
      </c>
      <c r="F35" s="34">
        <f>E35*VLOOKUP(B35,dagsoorttabel1,2,FALSE)</f>
        <v>243.07999999999998</v>
      </c>
      <c r="G35" s="35">
        <f>IF(AND(catpn_1_RB_1&gt;0,catpn_1_RV_42&gt;0),(dagenperjaar1*VLOOKUP(B35,dagsoorttabel1,2,FALSE))/(((dagenperjaar1*VLOOKUP(B35,dagsoorttabel1,2,FALSE))-catfd_1_RV_42)/catpn_1_RB_1+catfd_1_RV_42/catpn_1_RV_42),0)</f>
        <v>0</v>
      </c>
      <c r="H35" s="36">
        <f>IF(AND(catpn_1_RB_1&gt;0,catpn_1_RV_42&gt;0),(catdw_1_RB_1*((dagenperjaar1*VLOOKUP(B35,dagsoorttabel1,2,FALSE))-catfd_1_RV_42)/catpn_1_RB_1+catdw_1_RV_42*catfd_1_RV_42/catpn_1_RV_42)/(((dagenperjaar1*VLOOKUP(B35,dagsoorttabel1,2,FALSE))-catfd_1_RV_42)/catpn_1_RB_1+catfd_1_RV_42/catpn_1_RV_42),0)</f>
        <v>0</v>
      </c>
      <c r="I35" s="20" t="s">
        <v>45</v>
      </c>
      <c r="J35" s="37">
        <f>IF(AND(catpn_1_RB_1&gt;0,catpn_1_RV_42&gt;0),(cattf_1_RB_1*((dagenperjaar1*VLOOKUP(B35,dagsoorttabel1,2,FALSE))-catfd_1_RV_42)/catpn_1_RB_1+cattf_1_RV_42*catfd_1_RV_42/catpn_1_RV_42)/(((dagenperjaar1*VLOOKUP(B35,dagsoorttabel1,2,FALSE))-catfd_1_RV_42)/catpn_1_RB_1+catfd_1_RV_42/catpn_1_RV_42),0)</f>
        <v>0</v>
      </c>
      <c r="K35" s="34">
        <f>IF(OR(ISBLANK(G35),G35=0),0,F35/ROUND(G35,4))</f>
        <v>0</v>
      </c>
      <c r="L35" s="37">
        <f>ROUND(J35,2)*K35</f>
        <v>0</v>
      </c>
      <c r="M35" s="34">
        <f>K35*dagenperjaar1</f>
        <v>0</v>
      </c>
      <c r="N35" s="37">
        <f>M35*ROUND(J35,2)</f>
        <v>0</v>
      </c>
    </row>
    <row r="36" spans="1:14" x14ac:dyDescent="0.2">
      <c r="A36" s="20" t="s">
        <v>168</v>
      </c>
      <c r="B36" s="20" t="s">
        <v>12</v>
      </c>
      <c r="C36" s="20" t="s">
        <v>130</v>
      </c>
      <c r="D36" s="20" t="s">
        <v>169</v>
      </c>
      <c r="E36" s="34">
        <v>2727.09</v>
      </c>
      <c r="F36" s="34">
        <f>E36*VLOOKUP(B36,dagsoorttabel1,2,FALSE)</f>
        <v>2727.09</v>
      </c>
      <c r="G36" s="35">
        <f>IF(AND(catpn_1_SB_1&gt;0,catpn_1_SV_42&gt;0),(dagenperjaar1*VLOOKUP(B36,dagsoorttabel1,2,FALSE))/(((dagenperjaar1*VLOOKUP(B36,dagsoorttabel1,2,FALSE))-catfd_1_SV_42)/catpn_1_SB_1+catfd_1_SV_42/catpn_1_SV_42),0)</f>
        <v>0</v>
      </c>
      <c r="H36" s="36">
        <f>IF(AND(catpn_1_SB_1&gt;0,catpn_1_SV_42&gt;0),(catdw_1_SB_1*((dagenperjaar1*VLOOKUP(B36,dagsoorttabel1,2,FALSE))-catfd_1_SV_42)/catpn_1_SB_1+catdw_1_SV_42*catfd_1_SV_42/catpn_1_SV_42)/(((dagenperjaar1*VLOOKUP(B36,dagsoorttabel1,2,FALSE))-catfd_1_SV_42)/catpn_1_SB_1+catfd_1_SV_42/catpn_1_SV_42),0)</f>
        <v>0</v>
      </c>
      <c r="I36" s="20" t="s">
        <v>45</v>
      </c>
      <c r="J36" s="37">
        <f>IF(AND(catpn_1_SB_1&gt;0,catpn_1_SV_42&gt;0),(cattf_1_SB_1*((dagenperjaar1*VLOOKUP(B36,dagsoorttabel1,2,FALSE))-catfd_1_SV_42)/catpn_1_SB_1+cattf_1_SV_42*catfd_1_SV_42/catpn_1_SV_42)/(((dagenperjaar1*VLOOKUP(B36,dagsoorttabel1,2,FALSE))-catfd_1_SV_42)/catpn_1_SB_1+catfd_1_SV_42/catpn_1_SV_42),0)</f>
        <v>0</v>
      </c>
      <c r="K36" s="34">
        <f>IF(OR(ISBLANK(G36),G36=0),0,F36/ROUND(G36,4))</f>
        <v>0</v>
      </c>
      <c r="L36" s="37">
        <f>ROUND(J36,2)*K36</f>
        <v>0</v>
      </c>
      <c r="M36" s="34">
        <f>K36*dagenperjaar1</f>
        <v>0</v>
      </c>
      <c r="N36" s="37">
        <f>M36*ROUND(J36,2)</f>
        <v>0</v>
      </c>
    </row>
    <row r="37" spans="1:14" x14ac:dyDescent="0.2">
      <c r="A37" s="20" t="s">
        <v>168</v>
      </c>
      <c r="B37" s="20" t="s">
        <v>10</v>
      </c>
      <c r="C37" s="20" t="s">
        <v>130</v>
      </c>
      <c r="D37" s="20" t="s">
        <v>169</v>
      </c>
      <c r="E37" s="34">
        <v>24.03</v>
      </c>
      <c r="F37" s="34">
        <f>E37*VLOOKUP(B37,dagsoorttabel1,2,FALSE)</f>
        <v>27.462857142857143</v>
      </c>
      <c r="G37" s="35">
        <f>IF(AND(catpn_1_SB_1&gt;0,catpn_1_SV_48&gt;0),(dagenperjaar1*VLOOKUP(B37,dagsoorttabel1,2,FALSE))/(((dagenperjaar1*VLOOKUP(B37,dagsoorttabel1,2,FALSE))-catfd_1_SV_48)/catpn_1_SB_1+catfd_1_SV_48/catpn_1_SV_48),0)</f>
        <v>0</v>
      </c>
      <c r="H37" s="36">
        <f>IF(AND(catpn_1_SB_1&gt;0,catpn_1_SV_48&gt;0),(catdw_1_SB_1*((dagenperjaar1*VLOOKUP(B37,dagsoorttabel1,2,FALSE))-catfd_1_SV_48)/catpn_1_SB_1+catdw_1_SV_48*catfd_1_SV_48/catpn_1_SV_48)/(((dagenperjaar1*VLOOKUP(B37,dagsoorttabel1,2,FALSE))-catfd_1_SV_48)/catpn_1_SB_1+catfd_1_SV_48/catpn_1_SV_48),0)</f>
        <v>0</v>
      </c>
      <c r="I37" s="20" t="s">
        <v>45</v>
      </c>
      <c r="J37" s="37">
        <f>IF(AND(catpn_1_SB_1&gt;0,catpn_1_SV_48&gt;0),(cattf_1_SB_1*((dagenperjaar1*VLOOKUP(B37,dagsoorttabel1,2,FALSE))-catfd_1_SV_48)/catpn_1_SB_1+cattf_1_SV_48*catfd_1_SV_48/catpn_1_SV_48)/(((dagenperjaar1*VLOOKUP(B37,dagsoorttabel1,2,FALSE))-catfd_1_SV_48)/catpn_1_SB_1+catfd_1_SV_48/catpn_1_SV_48),0)</f>
        <v>0</v>
      </c>
      <c r="K37" s="34">
        <f>IF(OR(ISBLANK(G37),G37=0),0,F37/ROUND(G37,4))</f>
        <v>0</v>
      </c>
      <c r="L37" s="37">
        <f>ROUND(J37,2)*K37</f>
        <v>0</v>
      </c>
      <c r="M37" s="34">
        <f>K37*dagenperjaar1</f>
        <v>0</v>
      </c>
      <c r="N37" s="37">
        <f>M37*ROUND(J37,2)</f>
        <v>0</v>
      </c>
    </row>
    <row r="38" spans="1:14" x14ac:dyDescent="0.2">
      <c r="A38" s="20" t="s">
        <v>170</v>
      </c>
      <c r="B38" s="20" t="s">
        <v>12</v>
      </c>
      <c r="C38" s="20" t="s">
        <v>130</v>
      </c>
      <c r="D38" s="20" t="s">
        <v>171</v>
      </c>
      <c r="E38" s="34">
        <v>1093.29</v>
      </c>
      <c r="F38" s="34">
        <f>E38*VLOOKUP(B38,dagsoorttabel1,2,FALSE)</f>
        <v>1093.29</v>
      </c>
      <c r="G38" s="35">
        <f>catpn_1_SB_1</f>
        <v>0</v>
      </c>
      <c r="H38" s="36">
        <f>catdw_1_SB_1</f>
        <v>0</v>
      </c>
      <c r="I38" s="20" t="s">
        <v>45</v>
      </c>
      <c r="J38" s="37">
        <f>cattf_1_SB_1</f>
        <v>0</v>
      </c>
      <c r="K38" s="34">
        <f>IF(OR(ISBLANK(G38),G38=0),0,F38/ROUND(G38,4))</f>
        <v>0</v>
      </c>
      <c r="L38" s="37">
        <f>ROUND(J38,2)*K38</f>
        <v>0</v>
      </c>
      <c r="M38" s="34">
        <f>K38*dagenperjaar1</f>
        <v>0</v>
      </c>
      <c r="N38" s="37">
        <f>M38*ROUND(J38,2)</f>
        <v>0</v>
      </c>
    </row>
    <row r="39" spans="1:14" x14ac:dyDescent="0.2">
      <c r="A39" s="20" t="s">
        <v>172</v>
      </c>
      <c r="B39" s="20" t="s">
        <v>24</v>
      </c>
      <c r="C39" s="20" t="s">
        <v>130</v>
      </c>
      <c r="D39" s="20" t="s">
        <v>173</v>
      </c>
      <c r="E39" s="34">
        <v>12</v>
      </c>
      <c r="F39" s="34">
        <f>E39*VLOOKUP(B39,dagsoorttabel1,2,FALSE)</f>
        <v>2.4000000000000004</v>
      </c>
      <c r="G39" s="35">
        <f>IF(AND(catpn_1_TB_1&gt;0,catpn_1_TV_42&gt;0),(dagenperjaar1*VLOOKUP(B39,dagsoorttabel1,2,FALSE))/(((dagenperjaar1*VLOOKUP(B39,dagsoorttabel1,2,FALSE))-catfd_1_TV_42)/catpn_1_TB_1+catfd_1_TV_42/catpn_1_TV_42),0)</f>
        <v>0</v>
      </c>
      <c r="H39" s="36">
        <f>IF(AND(catpn_1_TB_1&gt;0,catpn_1_TV_42&gt;0),(catdw_1_TB_1*((dagenperjaar1*VLOOKUP(B39,dagsoorttabel1,2,FALSE))-catfd_1_TV_42)/catpn_1_TB_1+catdw_1_TV_42*catfd_1_TV_42/catpn_1_TV_42)/(((dagenperjaar1*VLOOKUP(B39,dagsoorttabel1,2,FALSE))-catfd_1_TV_42)/catpn_1_TB_1+catfd_1_TV_42/catpn_1_TV_42),0)</f>
        <v>0</v>
      </c>
      <c r="I39" s="20" t="s">
        <v>45</v>
      </c>
      <c r="J39" s="37">
        <f>IF(AND(catpn_1_TB_1&gt;0,catpn_1_TV_42&gt;0),(cattf_1_TB_1*((dagenperjaar1*VLOOKUP(B39,dagsoorttabel1,2,FALSE))-catfd_1_TV_42)/catpn_1_TB_1+cattf_1_TV_42*catfd_1_TV_42/catpn_1_TV_42)/(((dagenperjaar1*VLOOKUP(B39,dagsoorttabel1,2,FALSE))-catfd_1_TV_42)/catpn_1_TB_1+catfd_1_TV_42/catpn_1_TV_42),0)</f>
        <v>0</v>
      </c>
      <c r="K39" s="34">
        <f>IF(OR(ISBLANK(G39),G39=0),0,F39/ROUND(G39,4))</f>
        <v>0</v>
      </c>
      <c r="L39" s="37">
        <f>ROUND(J39,2)*K39</f>
        <v>0</v>
      </c>
      <c r="M39" s="34">
        <f>K39*dagenperjaar1</f>
        <v>0</v>
      </c>
      <c r="N39" s="37">
        <f>M39*ROUND(J39,2)</f>
        <v>0</v>
      </c>
    </row>
    <row r="40" spans="1:14" x14ac:dyDescent="0.2">
      <c r="A40" s="20" t="s">
        <v>174</v>
      </c>
      <c r="B40" s="20" t="s">
        <v>12</v>
      </c>
      <c r="C40" s="20" t="s">
        <v>130</v>
      </c>
      <c r="D40" s="20" t="s">
        <v>173</v>
      </c>
      <c r="E40" s="34">
        <v>2732.8800000000006</v>
      </c>
      <c r="F40" s="34">
        <f>E40*VLOOKUP(B40,dagsoorttabel1,2,FALSE)</f>
        <v>2732.8800000000006</v>
      </c>
      <c r="G40" s="35">
        <f>IF(AND(catpn_1_TB_1&gt;0,catpn_1_TV_42&gt;0),(dagenperjaar1*VLOOKUP(B40,dagsoorttabel1,2,FALSE))/(((dagenperjaar1*VLOOKUP(B40,dagsoorttabel1,2,FALSE))-catfd_1_TV_42)/catpn_1_TB_1+catfd_1_TV_42/catpn_1_TV_42),0)</f>
        <v>0</v>
      </c>
      <c r="H40" s="36">
        <f>IF(AND(catpn_1_TB_1&gt;0,catpn_1_TV_42&gt;0),(catdw_1_TB_1*((dagenperjaar1*VLOOKUP(B40,dagsoorttabel1,2,FALSE))-catfd_1_TV_42)/catpn_1_TB_1+catdw_1_TV_42*catfd_1_TV_42/catpn_1_TV_42)/(((dagenperjaar1*VLOOKUP(B40,dagsoorttabel1,2,FALSE))-catfd_1_TV_42)/catpn_1_TB_1+catfd_1_TV_42/catpn_1_TV_42),0)</f>
        <v>0</v>
      </c>
      <c r="I40" s="20" t="s">
        <v>45</v>
      </c>
      <c r="J40" s="37">
        <f>IF(AND(catpn_1_TB_1&gt;0,catpn_1_TV_42&gt;0),(cattf_1_TB_1*((dagenperjaar1*VLOOKUP(B40,dagsoorttabel1,2,FALSE))-catfd_1_TV_42)/catpn_1_TB_1+cattf_1_TV_42*catfd_1_TV_42/catpn_1_TV_42)/(((dagenperjaar1*VLOOKUP(B40,dagsoorttabel1,2,FALSE))-catfd_1_TV_42)/catpn_1_TB_1+catfd_1_TV_42/catpn_1_TV_42),0)</f>
        <v>0</v>
      </c>
      <c r="K40" s="34">
        <f>IF(OR(ISBLANK(G40),G40=0),0,F40/ROUND(G40,4))</f>
        <v>0</v>
      </c>
      <c r="L40" s="37">
        <f>ROUND(J40,2)*K40</f>
        <v>0</v>
      </c>
      <c r="M40" s="34">
        <f>K40*dagenperjaar1</f>
        <v>0</v>
      </c>
      <c r="N40" s="37">
        <f>M40*ROUND(J40,2)</f>
        <v>0</v>
      </c>
    </row>
    <row r="41" spans="1:14" x14ac:dyDescent="0.2">
      <c r="A41" s="20" t="s">
        <v>174</v>
      </c>
      <c r="B41" s="20" t="s">
        <v>10</v>
      </c>
      <c r="C41" s="20" t="s">
        <v>130</v>
      </c>
      <c r="D41" s="20" t="s">
        <v>173</v>
      </c>
      <c r="E41" s="34">
        <v>8</v>
      </c>
      <c r="F41" s="34">
        <f>E41*VLOOKUP(B41,dagsoorttabel1,2,FALSE)</f>
        <v>9.1428571428571423</v>
      </c>
      <c r="G41" s="35">
        <f>IF(AND(catpn_1_TB_1&gt;0,catpn_1_TV_48&gt;0),(dagenperjaar1*VLOOKUP(B41,dagsoorttabel1,2,FALSE))/(((dagenperjaar1*VLOOKUP(B41,dagsoorttabel1,2,FALSE))-catfd_1_TV_48)/catpn_1_TB_1+catfd_1_TV_48/catpn_1_TV_48),0)</f>
        <v>0</v>
      </c>
      <c r="H41" s="36">
        <f>IF(AND(catpn_1_TB_1&gt;0,catpn_1_TV_48&gt;0),(catdw_1_TB_1*((dagenperjaar1*VLOOKUP(B41,dagsoorttabel1,2,FALSE))-catfd_1_TV_48)/catpn_1_TB_1+catdw_1_TV_48*catfd_1_TV_48/catpn_1_TV_48)/(((dagenperjaar1*VLOOKUP(B41,dagsoorttabel1,2,FALSE))-catfd_1_TV_48)/catpn_1_TB_1+catfd_1_TV_48/catpn_1_TV_48),0)</f>
        <v>0</v>
      </c>
      <c r="I41" s="20" t="s">
        <v>45</v>
      </c>
      <c r="J41" s="37">
        <f>IF(AND(catpn_1_TB_1&gt;0,catpn_1_TV_48&gt;0),(cattf_1_TB_1*((dagenperjaar1*VLOOKUP(B41,dagsoorttabel1,2,FALSE))-catfd_1_TV_48)/catpn_1_TB_1+cattf_1_TV_48*catfd_1_TV_48/catpn_1_TV_48)/(((dagenperjaar1*VLOOKUP(B41,dagsoorttabel1,2,FALSE))-catfd_1_TV_48)/catpn_1_TB_1+catfd_1_TV_48/catpn_1_TV_48),0)</f>
        <v>0</v>
      </c>
      <c r="K41" s="34">
        <f>IF(OR(ISBLANK(G41),G41=0),0,F41/ROUND(G41,4))</f>
        <v>0</v>
      </c>
      <c r="L41" s="37">
        <f>ROUND(J41,2)*K41</f>
        <v>0</v>
      </c>
      <c r="M41" s="34">
        <f>K41*dagenperjaar1</f>
        <v>0</v>
      </c>
      <c r="N41" s="37">
        <f>M41*ROUND(J41,2)</f>
        <v>0</v>
      </c>
    </row>
    <row r="42" spans="1:14" x14ac:dyDescent="0.2">
      <c r="A42" s="20" t="s">
        <v>175</v>
      </c>
      <c r="B42" s="20" t="s">
        <v>24</v>
      </c>
      <c r="C42" s="20" t="s">
        <v>130</v>
      </c>
      <c r="D42" s="20" t="s">
        <v>176</v>
      </c>
      <c r="E42" s="34">
        <v>138.72</v>
      </c>
      <c r="F42" s="34">
        <f>E42*VLOOKUP(B42,dagsoorttabel1,2,FALSE)</f>
        <v>27.744</v>
      </c>
      <c r="G42" s="35">
        <f>IF(AND(catpn_1_VB_1&gt;0,catpn_1_VV_42&gt;0),(dagenperjaar1*VLOOKUP(B42,dagsoorttabel1,2,FALSE))/(((dagenperjaar1*VLOOKUP(B42,dagsoorttabel1,2,FALSE))-catfd_1_VV_42)/catpn_1_VB_1+catfd_1_VV_42/catpn_1_VV_42),0)</f>
        <v>0</v>
      </c>
      <c r="H42" s="36">
        <f>IF(AND(catpn_1_VB_1&gt;0,catpn_1_VV_42&gt;0),(catdw_1_VB_1*((dagenperjaar1*VLOOKUP(B42,dagsoorttabel1,2,FALSE))-catfd_1_VV_42)/catpn_1_VB_1+catdw_1_VV_42*catfd_1_VV_42/catpn_1_VV_42)/(((dagenperjaar1*VLOOKUP(B42,dagsoorttabel1,2,FALSE))-catfd_1_VV_42)/catpn_1_VB_1+catfd_1_VV_42/catpn_1_VV_42),0)</f>
        <v>0</v>
      </c>
      <c r="I42" s="20" t="s">
        <v>45</v>
      </c>
      <c r="J42" s="37">
        <f>IF(AND(catpn_1_VB_1&gt;0,catpn_1_VV_42&gt;0),(cattf_1_VB_1*((dagenperjaar1*VLOOKUP(B42,dagsoorttabel1,2,FALSE))-catfd_1_VV_42)/catpn_1_VB_1+cattf_1_VV_42*catfd_1_VV_42/catpn_1_VV_42)/(((dagenperjaar1*VLOOKUP(B42,dagsoorttabel1,2,FALSE))-catfd_1_VV_42)/catpn_1_VB_1+catfd_1_VV_42/catpn_1_VV_42),0)</f>
        <v>0</v>
      </c>
      <c r="K42" s="34">
        <f>IF(OR(ISBLANK(G42),G42=0),0,F42/ROUND(G42,4))</f>
        <v>0</v>
      </c>
      <c r="L42" s="37">
        <f>ROUND(J42,2)*K42</f>
        <v>0</v>
      </c>
      <c r="M42" s="34">
        <f>K42*dagenperjaar1</f>
        <v>0</v>
      </c>
      <c r="N42" s="37">
        <f>M42*ROUND(J42,2)</f>
        <v>0</v>
      </c>
    </row>
    <row r="43" spans="1:14" x14ac:dyDescent="0.2">
      <c r="A43" s="20" t="s">
        <v>177</v>
      </c>
      <c r="B43" s="20" t="s">
        <v>12</v>
      </c>
      <c r="C43" s="20" t="s">
        <v>130</v>
      </c>
      <c r="D43" s="20" t="s">
        <v>176</v>
      </c>
      <c r="E43" s="34">
        <v>17308.379999999997</v>
      </c>
      <c r="F43" s="34">
        <f>E43*VLOOKUP(B43,dagsoorttabel1,2,FALSE)</f>
        <v>17308.379999999997</v>
      </c>
      <c r="G43" s="35">
        <f>IF(AND(catpn_1_VB_1&gt;0,catpn_1_VV_42&gt;0),(dagenperjaar1*VLOOKUP(B43,dagsoorttabel1,2,FALSE))/(((dagenperjaar1*VLOOKUP(B43,dagsoorttabel1,2,FALSE))-catfd_1_VV_42)/catpn_1_VB_1+catfd_1_VV_42/catpn_1_VV_42),0)</f>
        <v>0</v>
      </c>
      <c r="H43" s="36">
        <f>IF(AND(catpn_1_VB_1&gt;0,catpn_1_VV_42&gt;0),(catdw_1_VB_1*((dagenperjaar1*VLOOKUP(B43,dagsoorttabel1,2,FALSE))-catfd_1_VV_42)/catpn_1_VB_1+catdw_1_VV_42*catfd_1_VV_42/catpn_1_VV_42)/(((dagenperjaar1*VLOOKUP(B43,dagsoorttabel1,2,FALSE))-catfd_1_VV_42)/catpn_1_VB_1+catfd_1_VV_42/catpn_1_VV_42),0)</f>
        <v>0</v>
      </c>
      <c r="I43" s="20" t="s">
        <v>45</v>
      </c>
      <c r="J43" s="37">
        <f>IF(AND(catpn_1_VB_1&gt;0,catpn_1_VV_42&gt;0),(cattf_1_VB_1*((dagenperjaar1*VLOOKUP(B43,dagsoorttabel1,2,FALSE))-catfd_1_VV_42)/catpn_1_VB_1+cattf_1_VV_42*catfd_1_VV_42/catpn_1_VV_42)/(((dagenperjaar1*VLOOKUP(B43,dagsoorttabel1,2,FALSE))-catfd_1_VV_42)/catpn_1_VB_1+catfd_1_VV_42/catpn_1_VV_42),0)</f>
        <v>0</v>
      </c>
      <c r="K43" s="34">
        <f>IF(OR(ISBLANK(G43),G43=0),0,F43/ROUND(G43,4))</f>
        <v>0</v>
      </c>
      <c r="L43" s="37">
        <f>ROUND(J43,2)*K43</f>
        <v>0</v>
      </c>
      <c r="M43" s="34">
        <f>K43*dagenperjaar1</f>
        <v>0</v>
      </c>
      <c r="N43" s="37">
        <f>M43*ROUND(J43,2)</f>
        <v>0</v>
      </c>
    </row>
    <row r="44" spans="1:14" x14ac:dyDescent="0.2">
      <c r="A44" s="20" t="s">
        <v>177</v>
      </c>
      <c r="B44" s="20" t="s">
        <v>10</v>
      </c>
      <c r="C44" s="20" t="s">
        <v>130</v>
      </c>
      <c r="D44" s="20" t="s">
        <v>176</v>
      </c>
      <c r="E44" s="34">
        <v>84.52</v>
      </c>
      <c r="F44" s="34">
        <f>E44*VLOOKUP(B44,dagsoorttabel1,2,FALSE)</f>
        <v>96.594285714285704</v>
      </c>
      <c r="G44" s="35">
        <f>IF(AND(catpn_1_VB_1&gt;0,catpn_1_VV_48&gt;0),(dagenperjaar1*VLOOKUP(B44,dagsoorttabel1,2,FALSE))/(((dagenperjaar1*VLOOKUP(B44,dagsoorttabel1,2,FALSE))-catfd_1_VV_48)/catpn_1_VB_1+catfd_1_VV_48/catpn_1_VV_48),0)</f>
        <v>0</v>
      </c>
      <c r="H44" s="36">
        <f>IF(AND(catpn_1_VB_1&gt;0,catpn_1_VV_48&gt;0),(catdw_1_VB_1*((dagenperjaar1*VLOOKUP(B44,dagsoorttabel1,2,FALSE))-catfd_1_VV_48)/catpn_1_VB_1+catdw_1_VV_48*catfd_1_VV_48/catpn_1_VV_48)/(((dagenperjaar1*VLOOKUP(B44,dagsoorttabel1,2,FALSE))-catfd_1_VV_48)/catpn_1_VB_1+catfd_1_VV_48/catpn_1_VV_48),0)</f>
        <v>0</v>
      </c>
      <c r="I44" s="20" t="s">
        <v>45</v>
      </c>
      <c r="J44" s="37">
        <f>IF(AND(catpn_1_VB_1&gt;0,catpn_1_VV_48&gt;0),(cattf_1_VB_1*((dagenperjaar1*VLOOKUP(B44,dagsoorttabel1,2,FALSE))-catfd_1_VV_48)/catpn_1_VB_1+cattf_1_VV_48*catfd_1_VV_48/catpn_1_VV_48)/(((dagenperjaar1*VLOOKUP(B44,dagsoorttabel1,2,FALSE))-catfd_1_VV_48)/catpn_1_VB_1+catfd_1_VV_48/catpn_1_VV_48),0)</f>
        <v>0</v>
      </c>
      <c r="K44" s="34">
        <f>IF(OR(ISBLANK(G44),G44=0),0,F44/ROUND(G44,4))</f>
        <v>0</v>
      </c>
      <c r="L44" s="37">
        <f>ROUND(J44,2)*K44</f>
        <v>0</v>
      </c>
      <c r="M44" s="34">
        <f>K44*dagenperjaar1</f>
        <v>0</v>
      </c>
      <c r="N44" s="37">
        <f>M44*ROUND(J44,2)</f>
        <v>0</v>
      </c>
    </row>
    <row r="45" spans="1:14" x14ac:dyDescent="0.2">
      <c r="A45" s="20" t="s">
        <v>177</v>
      </c>
      <c r="B45" s="20" t="s">
        <v>9</v>
      </c>
      <c r="C45" s="20" t="s">
        <v>130</v>
      </c>
      <c r="D45" s="20" t="s">
        <v>176</v>
      </c>
      <c r="E45" s="34">
        <v>268</v>
      </c>
      <c r="F45" s="34">
        <f>E45*VLOOKUP(B45,dagsoorttabel1,2,FALSE)</f>
        <v>325.42857142857139</v>
      </c>
      <c r="G45" s="35">
        <f>IF(AND(catpn_1_VB_1&gt;0,catpn_1_VV_51&gt;0),(dagenperjaar1*VLOOKUP(B45,dagsoorttabel1,2,FALSE))/(((dagenperjaar1*VLOOKUP(B45,dagsoorttabel1,2,FALSE))-catfd_1_VV_51)/catpn_1_VB_1+catfd_1_VV_51/catpn_1_VV_51),0)</f>
        <v>0</v>
      </c>
      <c r="H45" s="36">
        <f>IF(AND(catpn_1_VB_1&gt;0,catpn_1_VV_51&gt;0),(catdw_1_VB_1*((dagenperjaar1*VLOOKUP(B45,dagsoorttabel1,2,FALSE))-catfd_1_VV_51)/catpn_1_VB_1+catdw_1_VV_51*catfd_1_VV_51/catpn_1_VV_51)/(((dagenperjaar1*VLOOKUP(B45,dagsoorttabel1,2,FALSE))-catfd_1_VV_51)/catpn_1_VB_1+catfd_1_VV_51/catpn_1_VV_51),0)</f>
        <v>0</v>
      </c>
      <c r="I45" s="20" t="s">
        <v>45</v>
      </c>
      <c r="J45" s="37">
        <f>IF(AND(catpn_1_VB_1&gt;0,catpn_1_VV_51&gt;0),(cattf_1_VB_1*((dagenperjaar1*VLOOKUP(B45,dagsoorttabel1,2,FALSE))-catfd_1_VV_51)/catpn_1_VB_1+cattf_1_VV_51*catfd_1_VV_51/catpn_1_VV_51)/(((dagenperjaar1*VLOOKUP(B45,dagsoorttabel1,2,FALSE))-catfd_1_VV_51)/catpn_1_VB_1+catfd_1_VV_51/catpn_1_VV_51),0)</f>
        <v>0</v>
      </c>
      <c r="K45" s="34">
        <f>IF(OR(ISBLANK(G45),G45=0),0,F45/ROUND(G45,4))</f>
        <v>0</v>
      </c>
      <c r="L45" s="37">
        <f>ROUND(J45,2)*K45</f>
        <v>0</v>
      </c>
      <c r="M45" s="34">
        <f>K45*dagenperjaar1</f>
        <v>0</v>
      </c>
      <c r="N45" s="37">
        <f>M45*ROUND(J45,2)</f>
        <v>0</v>
      </c>
    </row>
    <row r="46" spans="1:14" x14ac:dyDescent="0.2">
      <c r="A46" s="20" t="s">
        <v>178</v>
      </c>
      <c r="B46" s="20" t="s">
        <v>12</v>
      </c>
      <c r="C46" s="20" t="s">
        <v>179</v>
      </c>
      <c r="D46" s="20" t="s">
        <v>180</v>
      </c>
      <c r="E46" s="34">
        <v>0.33000000000000007</v>
      </c>
      <c r="F46" s="34">
        <f>E46*VLOOKUP(B46,dagsoorttabel1,2,FALSE)</f>
        <v>0.33000000000000007</v>
      </c>
      <c r="G46" s="35"/>
      <c r="H46" s="36"/>
      <c r="I46" s="20" t="s">
        <v>181</v>
      </c>
      <c r="J46" s="24"/>
      <c r="K46" s="34">
        <f>F46</f>
        <v>0.33000000000000007</v>
      </c>
      <c r="L46" s="37">
        <f>ROUND(J46,2)*K46</f>
        <v>0</v>
      </c>
      <c r="M46" s="34">
        <f>K46*dagenperjaar1</f>
        <v>69.300000000000011</v>
      </c>
      <c r="N46" s="37">
        <f>M46*ROUND(J46,2)</f>
        <v>0</v>
      </c>
    </row>
    <row r="47" spans="1:14" x14ac:dyDescent="0.2">
      <c r="A47" s="20" t="s">
        <v>182</v>
      </c>
      <c r="B47" s="20" t="s">
        <v>29</v>
      </c>
      <c r="C47" s="20" t="s">
        <v>179</v>
      </c>
      <c r="D47" s="20" t="s">
        <v>183</v>
      </c>
      <c r="E47" s="34">
        <v>39</v>
      </c>
      <c r="F47" s="34">
        <f>E47*VLOOKUP(B47,dagsoorttabel1,2,FALSE)</f>
        <v>0.74285714285714288</v>
      </c>
      <c r="G47" s="38"/>
      <c r="H47" s="23"/>
      <c r="I47" s="20" t="s">
        <v>184</v>
      </c>
      <c r="J47" s="24"/>
      <c r="K47" s="34">
        <f>F47*ROUND(G47,4)/60</f>
        <v>0</v>
      </c>
      <c r="L47" s="37">
        <f>ROUND(J47,2)*K47</f>
        <v>0</v>
      </c>
      <c r="M47" s="34">
        <f>K47*dagenperjaar1</f>
        <v>0</v>
      </c>
      <c r="N47" s="37">
        <f>M47*ROUND(J47,2)</f>
        <v>0</v>
      </c>
    </row>
    <row r="48" spans="1:14" x14ac:dyDescent="0.2">
      <c r="A48" s="20" t="s">
        <v>185</v>
      </c>
      <c r="B48" s="20" t="s">
        <v>29</v>
      </c>
      <c r="C48" s="20" t="s">
        <v>179</v>
      </c>
      <c r="D48" s="20" t="s">
        <v>186</v>
      </c>
      <c r="E48" s="34">
        <v>35</v>
      </c>
      <c r="F48" s="34">
        <f>E48*VLOOKUP(B48,dagsoorttabel1,2,FALSE)</f>
        <v>0.66666666666666674</v>
      </c>
      <c r="G48" s="38"/>
      <c r="H48" s="23"/>
      <c r="I48" s="20" t="s">
        <v>184</v>
      </c>
      <c r="J48" s="24"/>
      <c r="K48" s="34">
        <f>F48*ROUND(G48,4)/60</f>
        <v>0</v>
      </c>
      <c r="L48" s="37">
        <f>ROUND(J48,2)*K48</f>
        <v>0</v>
      </c>
      <c r="M48" s="34">
        <f>K48*dagenperjaar1</f>
        <v>0</v>
      </c>
      <c r="N48" s="37">
        <f>M48*ROUND(J48,2)</f>
        <v>0</v>
      </c>
    </row>
    <row r="49" spans="1:14" x14ac:dyDescent="0.2">
      <c r="A49" s="20" t="s">
        <v>187</v>
      </c>
      <c r="B49" s="20" t="s">
        <v>29</v>
      </c>
      <c r="C49" s="20" t="s">
        <v>179</v>
      </c>
      <c r="D49" s="20" t="s">
        <v>188</v>
      </c>
      <c r="E49" s="34">
        <v>24</v>
      </c>
      <c r="F49" s="34">
        <f>E49*VLOOKUP(B49,dagsoorttabel1,2,FALSE)</f>
        <v>0.45714285714285718</v>
      </c>
      <c r="G49" s="38"/>
      <c r="H49" s="23"/>
      <c r="I49" s="20" t="s">
        <v>184</v>
      </c>
      <c r="J49" s="24"/>
      <c r="K49" s="34">
        <f>F49*ROUND(G49,4)/60</f>
        <v>0</v>
      </c>
      <c r="L49" s="37">
        <f>ROUND(J49,2)*K49</f>
        <v>0</v>
      </c>
      <c r="M49" s="34">
        <f>K49*dagenperjaar1</f>
        <v>0</v>
      </c>
      <c r="N49" s="37">
        <f>M49*ROUND(J49,2)</f>
        <v>0</v>
      </c>
    </row>
    <row r="50" spans="1:14" x14ac:dyDescent="0.2">
      <c r="A50" s="20" t="s">
        <v>189</v>
      </c>
      <c r="B50" s="20" t="s">
        <v>29</v>
      </c>
      <c r="C50" s="20" t="s">
        <v>179</v>
      </c>
      <c r="D50" s="20" t="s">
        <v>190</v>
      </c>
      <c r="E50" s="34">
        <v>9</v>
      </c>
      <c r="F50" s="34">
        <f>E50*VLOOKUP(B50,dagsoorttabel1,2,FALSE)</f>
        <v>0.17142857142857143</v>
      </c>
      <c r="G50" s="38"/>
      <c r="H50" s="23"/>
      <c r="I50" s="20" t="s">
        <v>184</v>
      </c>
      <c r="J50" s="24"/>
      <c r="K50" s="34">
        <f>F50*ROUND(G50,4)/60</f>
        <v>0</v>
      </c>
      <c r="L50" s="37">
        <f>ROUND(J50,2)*K50</f>
        <v>0</v>
      </c>
      <c r="M50" s="34">
        <f>K50*dagenperjaar1</f>
        <v>0</v>
      </c>
      <c r="N50" s="37">
        <f>M50*ROUND(J50,2)</f>
        <v>0</v>
      </c>
    </row>
    <row r="51" spans="1:14" x14ac:dyDescent="0.2">
      <c r="A51" s="20" t="s">
        <v>191</v>
      </c>
      <c r="B51" s="20" t="s">
        <v>29</v>
      </c>
      <c r="C51" s="20" t="s">
        <v>179</v>
      </c>
      <c r="D51" s="20" t="s">
        <v>192</v>
      </c>
      <c r="E51" s="34">
        <v>2</v>
      </c>
      <c r="F51" s="34">
        <f>E51*VLOOKUP(B51,dagsoorttabel1,2,FALSE)</f>
        <v>3.8095238095238099E-2</v>
      </c>
      <c r="G51" s="38"/>
      <c r="H51" s="23"/>
      <c r="I51" s="20" t="s">
        <v>184</v>
      </c>
      <c r="J51" s="24"/>
      <c r="K51" s="34">
        <f>F51*ROUND(G51,4)/60</f>
        <v>0</v>
      </c>
      <c r="L51" s="37">
        <f>ROUND(J51,2)*K51</f>
        <v>0</v>
      </c>
      <c r="M51" s="34">
        <f>K51*dagenperjaar1</f>
        <v>0</v>
      </c>
      <c r="N51" s="37">
        <f>M51*ROUND(J51,2)</f>
        <v>0</v>
      </c>
    </row>
    <row r="52" spans="1:14" x14ac:dyDescent="0.2">
      <c r="A52" s="20" t="s">
        <v>193</v>
      </c>
      <c r="B52" s="20" t="s">
        <v>12</v>
      </c>
      <c r="C52" s="20" t="s">
        <v>179</v>
      </c>
      <c r="D52" s="20" t="s">
        <v>194</v>
      </c>
      <c r="E52" s="34">
        <v>300.7</v>
      </c>
      <c r="F52" s="34">
        <f>E52*VLOOKUP(B52,dagsoorttabel1,2,FALSE)</f>
        <v>300.7</v>
      </c>
      <c r="G52" s="38"/>
      <c r="H52" s="23"/>
      <c r="I52" s="20" t="s">
        <v>45</v>
      </c>
      <c r="J52" s="24"/>
      <c r="K52" s="34">
        <f>IF(OR(ISBLANK(G52),G52=0),0,F52/ROUND(G52,4))</f>
        <v>0</v>
      </c>
      <c r="L52" s="37">
        <f>ROUND(J52,2)*K52</f>
        <v>0</v>
      </c>
      <c r="M52" s="34">
        <f>K52*dagenperjaar1</f>
        <v>0</v>
      </c>
      <c r="N52" s="37">
        <f>M52*ROUND(J52,2)</f>
        <v>0</v>
      </c>
    </row>
    <row r="53" spans="1:14" x14ac:dyDescent="0.2">
      <c r="A53" s="20" t="s">
        <v>193</v>
      </c>
      <c r="B53" s="20" t="s">
        <v>22</v>
      </c>
      <c r="C53" s="20" t="s">
        <v>179</v>
      </c>
      <c r="D53" s="20" t="s">
        <v>194</v>
      </c>
      <c r="E53" s="34">
        <v>1400.9</v>
      </c>
      <c r="F53" s="34">
        <f>E53*VLOOKUP(B53,dagsoorttabel1,2,FALSE)</f>
        <v>533.67619047619053</v>
      </c>
      <c r="G53" s="38"/>
      <c r="H53" s="23"/>
      <c r="I53" s="20" t="s">
        <v>45</v>
      </c>
      <c r="J53" s="24"/>
      <c r="K53" s="34">
        <f>IF(OR(ISBLANK(G53),G53=0),0,F53/ROUND(G53,4))</f>
        <v>0</v>
      </c>
      <c r="L53" s="37">
        <f>ROUND(J53,2)*K53</f>
        <v>0</v>
      </c>
      <c r="M53" s="34">
        <f>K53*dagenperjaar1</f>
        <v>0</v>
      </c>
      <c r="N53" s="37">
        <f>M53*ROUND(J53,2)</f>
        <v>0</v>
      </c>
    </row>
    <row r="54" spans="1:14" x14ac:dyDescent="0.2">
      <c r="A54" s="20" t="s">
        <v>195</v>
      </c>
      <c r="B54" s="20" t="s">
        <v>13</v>
      </c>
      <c r="C54" s="20" t="s">
        <v>179</v>
      </c>
      <c r="D54" s="20" t="s">
        <v>196</v>
      </c>
      <c r="E54" s="34">
        <v>4</v>
      </c>
      <c r="F54" s="34">
        <f>E54*VLOOKUP(B54,dagsoorttabel1,2,FALSE)</f>
        <v>3.8095238095238093</v>
      </c>
      <c r="G54" s="35"/>
      <c r="H54" s="36"/>
      <c r="I54" s="20" t="s">
        <v>181</v>
      </c>
      <c r="J54" s="24"/>
      <c r="K54" s="34">
        <f>F54</f>
        <v>3.8095238095238093</v>
      </c>
      <c r="L54" s="37">
        <f>ROUND(J54,2)*K54</f>
        <v>0</v>
      </c>
      <c r="M54" s="34">
        <f>K54*dagenperjaar1</f>
        <v>800</v>
      </c>
      <c r="N54" s="37">
        <f>M54*ROUND(J54,2)</f>
        <v>0</v>
      </c>
    </row>
    <row r="55" spans="1:14" x14ac:dyDescent="0.2">
      <c r="A55" s="20" t="s">
        <v>197</v>
      </c>
      <c r="B55" s="20" t="s">
        <v>27</v>
      </c>
      <c r="C55" s="20" t="s">
        <v>179</v>
      </c>
      <c r="D55" s="20" t="s">
        <v>198</v>
      </c>
      <c r="E55" s="34">
        <v>1146</v>
      </c>
      <c r="F55" s="34">
        <f>E55*VLOOKUP(B55,dagsoorttabel1,2,FALSE)</f>
        <v>54.571428571428569</v>
      </c>
      <c r="G55" s="38"/>
      <c r="H55" s="23"/>
      <c r="I55" s="20" t="s">
        <v>45</v>
      </c>
      <c r="J55" s="24"/>
      <c r="K55" s="34">
        <f>IF(OR(ISBLANK(G55),G55=0),0,F55/ROUND(G55,4))</f>
        <v>0</v>
      </c>
      <c r="L55" s="37">
        <f>ROUND(J55,2)*K55</f>
        <v>0</v>
      </c>
      <c r="M55" s="34">
        <f>K55*dagenperjaar1</f>
        <v>0</v>
      </c>
      <c r="N55" s="37">
        <f>M55*ROUND(J55,2)</f>
        <v>0</v>
      </c>
    </row>
    <row r="56" spans="1:14" x14ac:dyDescent="0.2">
      <c r="A56" s="20" t="s">
        <v>197</v>
      </c>
      <c r="B56" s="20" t="s">
        <v>24</v>
      </c>
      <c r="C56" s="20" t="s">
        <v>179</v>
      </c>
      <c r="D56" s="20" t="s">
        <v>198</v>
      </c>
      <c r="E56" s="34">
        <v>628</v>
      </c>
      <c r="F56" s="34">
        <f>E56*VLOOKUP(B56,dagsoorttabel1,2,FALSE)</f>
        <v>125.60000000000001</v>
      </c>
      <c r="G56" s="38"/>
      <c r="H56" s="23"/>
      <c r="I56" s="20" t="s">
        <v>45</v>
      </c>
      <c r="J56" s="24"/>
      <c r="K56" s="34">
        <f>IF(OR(ISBLANK(G56),G56=0),0,F56/ROUND(G56,4))</f>
        <v>0</v>
      </c>
      <c r="L56" s="37">
        <f>ROUND(J56,2)*K56</f>
        <v>0</v>
      </c>
      <c r="M56" s="34">
        <f>K56*dagenperjaar1</f>
        <v>0</v>
      </c>
      <c r="N56" s="37">
        <f>M56*ROUND(J56,2)</f>
        <v>0</v>
      </c>
    </row>
    <row r="57" spans="1:14" x14ac:dyDescent="0.2">
      <c r="A57" s="20" t="s">
        <v>197</v>
      </c>
      <c r="B57" s="20" t="s">
        <v>19</v>
      </c>
      <c r="C57" s="20" t="s">
        <v>179</v>
      </c>
      <c r="D57" s="20" t="s">
        <v>198</v>
      </c>
      <c r="E57" s="34">
        <v>1106.8600000000001</v>
      </c>
      <c r="F57" s="34">
        <f>E57*VLOOKUP(B57,dagsoorttabel1,2,FALSE)</f>
        <v>505.99314285714291</v>
      </c>
      <c r="G57" s="38"/>
      <c r="H57" s="23"/>
      <c r="I57" s="20" t="s">
        <v>45</v>
      </c>
      <c r="J57" s="24"/>
      <c r="K57" s="34">
        <f>IF(OR(ISBLANK(G57),G57=0),0,F57/ROUND(G57,4))</f>
        <v>0</v>
      </c>
      <c r="L57" s="37">
        <f>ROUND(J57,2)*K57</f>
        <v>0</v>
      </c>
      <c r="M57" s="34">
        <f>K57*dagenperjaar1</f>
        <v>0</v>
      </c>
      <c r="N57" s="37">
        <f>M57*ROUND(J57,2)</f>
        <v>0</v>
      </c>
    </row>
    <row r="58" spans="1:14" x14ac:dyDescent="0.2">
      <c r="A58" s="20" t="s">
        <v>199</v>
      </c>
      <c r="B58" s="20" t="s">
        <v>29</v>
      </c>
      <c r="C58" s="20" t="s">
        <v>179</v>
      </c>
      <c r="D58" s="20" t="s">
        <v>200</v>
      </c>
      <c r="E58" s="34">
        <v>632.77</v>
      </c>
      <c r="F58" s="34">
        <f>E58*VLOOKUP(B58,dagsoorttabel1,2,FALSE)</f>
        <v>12.052761904761905</v>
      </c>
      <c r="G58" s="38"/>
      <c r="H58" s="23"/>
      <c r="I58" s="20" t="s">
        <v>45</v>
      </c>
      <c r="J58" s="24"/>
      <c r="K58" s="34">
        <f>IF(OR(ISBLANK(G58),G58=0),0,F58/ROUND(G58,4))</f>
        <v>0</v>
      </c>
      <c r="L58" s="37">
        <f>ROUND(J58,2)*K58</f>
        <v>0</v>
      </c>
      <c r="M58" s="34">
        <f>K58*dagenperjaar1</f>
        <v>0</v>
      </c>
      <c r="N58" s="37">
        <f>M58*ROUND(J58,2)</f>
        <v>0</v>
      </c>
    </row>
    <row r="59" spans="1:14" x14ac:dyDescent="0.2">
      <c r="A59" s="20" t="s">
        <v>201</v>
      </c>
      <c r="B59" s="20" t="s">
        <v>24</v>
      </c>
      <c r="C59" s="20" t="s">
        <v>179</v>
      </c>
      <c r="D59" s="20" t="s">
        <v>202</v>
      </c>
      <c r="E59" s="34">
        <v>3378.3199999999997</v>
      </c>
      <c r="F59" s="34">
        <f>E59*VLOOKUP(B59,dagsoorttabel1,2,FALSE)</f>
        <v>675.66399999999999</v>
      </c>
      <c r="G59" s="38"/>
      <c r="H59" s="23"/>
      <c r="I59" s="20" t="s">
        <v>45</v>
      </c>
      <c r="J59" s="24"/>
      <c r="K59" s="34">
        <f>IF(OR(ISBLANK(G59),G59=0),0,F59/ROUND(G59,4))</f>
        <v>0</v>
      </c>
      <c r="L59" s="37">
        <f>ROUND(J59,2)*K59</f>
        <v>0</v>
      </c>
      <c r="M59" s="34">
        <f>K59*dagenperjaar1</f>
        <v>0</v>
      </c>
      <c r="N59" s="37">
        <f>M59*ROUND(J59,2)</f>
        <v>0</v>
      </c>
    </row>
    <row r="60" spans="1:14" x14ac:dyDescent="0.2">
      <c r="A60" s="20" t="s">
        <v>203</v>
      </c>
      <c r="B60" s="20" t="s">
        <v>12</v>
      </c>
      <c r="C60" s="20" t="s">
        <v>179</v>
      </c>
      <c r="D60" s="20" t="s">
        <v>204</v>
      </c>
      <c r="E60" s="34">
        <v>46726.82</v>
      </c>
      <c r="F60" s="34">
        <f>E60*VLOOKUP(B60,dagsoorttabel1,2,FALSE)</f>
        <v>46726.82</v>
      </c>
      <c r="G60" s="38"/>
      <c r="H60" s="23"/>
      <c r="I60" s="20" t="s">
        <v>45</v>
      </c>
      <c r="J60" s="24"/>
      <c r="K60" s="34">
        <f>IF(OR(ISBLANK(G60),G60=0),0,F60/ROUND(G60,4))</f>
        <v>0</v>
      </c>
      <c r="L60" s="37">
        <f>ROUND(J60,2)*K60</f>
        <v>0</v>
      </c>
      <c r="M60" s="34">
        <f>K60*dagenperjaar1</f>
        <v>0</v>
      </c>
      <c r="N60" s="37">
        <f>M60*ROUND(J60,2)</f>
        <v>0</v>
      </c>
    </row>
    <row r="61" spans="1:14" x14ac:dyDescent="0.2">
      <c r="A61" s="20" t="s">
        <v>203</v>
      </c>
      <c r="B61" s="20" t="s">
        <v>10</v>
      </c>
      <c r="C61" s="20" t="s">
        <v>179</v>
      </c>
      <c r="D61" s="20" t="s">
        <v>204</v>
      </c>
      <c r="E61" s="34">
        <v>334.53999999999996</v>
      </c>
      <c r="F61" s="34">
        <f>E61*VLOOKUP(B61,dagsoorttabel1,2,FALSE)</f>
        <v>382.33142857142849</v>
      </c>
      <c r="G61" s="38"/>
      <c r="H61" s="23"/>
      <c r="I61" s="20" t="s">
        <v>45</v>
      </c>
      <c r="J61" s="24"/>
      <c r="K61" s="34">
        <f>IF(OR(ISBLANK(G61),G61=0),0,F61/ROUND(G61,4))</f>
        <v>0</v>
      </c>
      <c r="L61" s="37">
        <f>ROUND(J61,2)*K61</f>
        <v>0</v>
      </c>
      <c r="M61" s="34">
        <f>K61*dagenperjaar1</f>
        <v>0</v>
      </c>
      <c r="N61" s="37">
        <f>M61*ROUND(J61,2)</f>
        <v>0</v>
      </c>
    </row>
    <row r="62" spans="1:14" x14ac:dyDescent="0.2">
      <c r="A62" s="25" t="s">
        <v>203</v>
      </c>
      <c r="B62" s="25" t="s">
        <v>9</v>
      </c>
      <c r="C62" s="25" t="s">
        <v>179</v>
      </c>
      <c r="D62" s="25" t="s">
        <v>204</v>
      </c>
      <c r="E62" s="39">
        <v>1073.4000000000001</v>
      </c>
      <c r="F62" s="39">
        <f>E62*VLOOKUP(B62,dagsoorttabel1,2,FALSE)</f>
        <v>1303.4142857142858</v>
      </c>
      <c r="G62" s="40"/>
      <c r="H62" s="28"/>
      <c r="I62" s="25" t="s">
        <v>45</v>
      </c>
      <c r="J62" s="29"/>
      <c r="K62" s="39">
        <f>IF(OR(ISBLANK(G62),G62=0),0,F62/ROUND(G62,4))</f>
        <v>0</v>
      </c>
      <c r="L62" s="41">
        <f>ROUND(J62,2)*K62</f>
        <v>0</v>
      </c>
      <c r="M62" s="39">
        <f>K62*dagenperjaar1</f>
        <v>0</v>
      </c>
      <c r="N62" s="41">
        <f>M62*ROUND(J62,2)</f>
        <v>0</v>
      </c>
    </row>
    <row r="63" spans="1:14" x14ac:dyDescent="0.2">
      <c r="A63" s="42" t="s">
        <v>205</v>
      </c>
      <c r="B63" s="43"/>
      <c r="C63" s="43"/>
      <c r="D63" s="43"/>
      <c r="E63" s="43"/>
      <c r="F63" s="43"/>
      <c r="G63" s="43"/>
      <c r="H63" s="43"/>
      <c r="I63" s="43"/>
      <c r="J63" s="43"/>
      <c r="K63" s="44">
        <f>SUM(K6:K62)</f>
        <v>4.1395238095238094</v>
      </c>
      <c r="L63" s="45">
        <f>SUM(L6:L62)</f>
        <v>0</v>
      </c>
      <c r="M63" s="44">
        <f>SUM(M6:M62)</f>
        <v>869.3</v>
      </c>
      <c r="N63" s="46">
        <f>SUM(N6:N62)</f>
        <v>0</v>
      </c>
    </row>
    <row r="64" spans="1:14" x14ac:dyDescent="0.2">
      <c r="A64" s="47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8"/>
    </row>
    <row r="65" spans="1:14" x14ac:dyDescent="0.2">
      <c r="A65" s="42" t="s">
        <v>206</v>
      </c>
      <c r="B65" s="43"/>
      <c r="C65" s="43"/>
      <c r="D65" s="43"/>
      <c r="E65" s="43"/>
      <c r="F65" s="43"/>
      <c r="G65" s="43"/>
      <c r="H65" s="43"/>
      <c r="I65" s="43"/>
      <c r="J65" s="45">
        <f>IF(urenjaar1&gt;0,SUMIF(M6:M62,"&gt;0",N6:N62)/urenjaar1,0)</f>
        <v>0</v>
      </c>
      <c r="K65" s="43"/>
      <c r="L65" s="43"/>
      <c r="M65" s="43"/>
      <c r="N65" s="48"/>
    </row>
    <row r="66" spans="1:14" x14ac:dyDescent="0.2">
      <c r="A66" s="47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8"/>
    </row>
    <row r="68" spans="1:14" x14ac:dyDescent="0.2">
      <c r="A68" s="42" t="s">
        <v>207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4">
        <f>urenjaar1</f>
        <v>869.3</v>
      </c>
      <c r="N68" s="45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25CA-CE4C-4947-89CC-B42217A060D4}">
  <dimension ref="A1:AD62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30" width="12.625" customWidth="1"/>
  </cols>
  <sheetData>
    <row r="1" spans="1:30" x14ac:dyDescent="0.2">
      <c r="A1" s="1" t="s">
        <v>208</v>
      </c>
    </row>
    <row r="3" spans="1:30" x14ac:dyDescent="0.2">
      <c r="A3" s="49" t="s">
        <v>121</v>
      </c>
      <c r="B3" s="49" t="s">
        <v>7</v>
      </c>
      <c r="C3" s="49" t="s">
        <v>209</v>
      </c>
      <c r="D3" s="49" t="s">
        <v>210</v>
      </c>
      <c r="E3" s="49" t="s">
        <v>211</v>
      </c>
      <c r="F3" s="49" t="s">
        <v>212</v>
      </c>
      <c r="G3" s="49" t="s">
        <v>213</v>
      </c>
      <c r="H3" s="49" t="s">
        <v>38</v>
      </c>
      <c r="I3" s="49" t="s">
        <v>214</v>
      </c>
      <c r="J3" s="49" t="s">
        <v>215</v>
      </c>
      <c r="K3" s="49" t="s">
        <v>216</v>
      </c>
      <c r="L3" s="49" t="s">
        <v>217</v>
      </c>
      <c r="M3" s="49" t="s">
        <v>218</v>
      </c>
      <c r="N3" s="49" t="s">
        <v>219</v>
      </c>
      <c r="O3" s="49" t="s">
        <v>220</v>
      </c>
      <c r="P3" s="49" t="s">
        <v>221</v>
      </c>
      <c r="Q3" s="49" t="s">
        <v>222</v>
      </c>
      <c r="R3" s="49" t="s">
        <v>223</v>
      </c>
      <c r="S3" s="49" t="s">
        <v>224</v>
      </c>
      <c r="T3" s="49" t="s">
        <v>225</v>
      </c>
      <c r="U3" s="49" t="s">
        <v>226</v>
      </c>
      <c r="V3" s="49" t="s">
        <v>227</v>
      </c>
      <c r="W3" s="49" t="s">
        <v>228</v>
      </c>
      <c r="X3" s="49" t="s">
        <v>229</v>
      </c>
      <c r="Y3" s="49" t="s">
        <v>230</v>
      </c>
      <c r="Z3" s="49" t="s">
        <v>231</v>
      </c>
      <c r="AA3" s="49" t="s">
        <v>232</v>
      </c>
      <c r="AB3" s="49" t="s">
        <v>233</v>
      </c>
      <c r="AC3" s="49" t="s">
        <v>234</v>
      </c>
      <c r="AD3" s="49" t="s">
        <v>235</v>
      </c>
    </row>
    <row r="4" spans="1:30" x14ac:dyDescent="0.2">
      <c r="A4" s="50"/>
      <c r="B4" s="50"/>
      <c r="C4" s="50"/>
      <c r="D4" s="50"/>
      <c r="E4" s="50"/>
      <c r="F4" s="50"/>
      <c r="G4" s="50"/>
      <c r="H4" s="50"/>
      <c r="I4" s="50"/>
      <c r="J4" s="51" t="s">
        <v>123</v>
      </c>
      <c r="K4" s="51" t="s">
        <v>123</v>
      </c>
      <c r="L4" s="51" t="s">
        <v>123</v>
      </c>
      <c r="M4" s="51" t="s">
        <v>123</v>
      </c>
      <c r="N4" s="51" t="s">
        <v>123</v>
      </c>
      <c r="O4" s="51" t="s">
        <v>123</v>
      </c>
      <c r="P4" s="51" t="s">
        <v>123</v>
      </c>
      <c r="Q4" s="51" t="s">
        <v>123</v>
      </c>
      <c r="R4" s="51" t="s">
        <v>123</v>
      </c>
      <c r="S4" s="51" t="s">
        <v>123</v>
      </c>
      <c r="T4" s="51" t="s">
        <v>123</v>
      </c>
      <c r="U4" s="51" t="s">
        <v>123</v>
      </c>
      <c r="V4" s="51" t="s">
        <v>123</v>
      </c>
      <c r="W4" s="51" t="s">
        <v>123</v>
      </c>
      <c r="X4" s="51" t="s">
        <v>123</v>
      </c>
      <c r="Y4" s="51" t="s">
        <v>123</v>
      </c>
      <c r="Z4" s="51" t="s">
        <v>123</v>
      </c>
      <c r="AA4" s="51" t="s">
        <v>123</v>
      </c>
      <c r="AB4" s="51" t="s">
        <v>123</v>
      </c>
      <c r="AC4" s="51" t="s">
        <v>123</v>
      </c>
      <c r="AD4" s="51" t="s">
        <v>123</v>
      </c>
    </row>
    <row r="5" spans="1:30" x14ac:dyDescent="0.2">
      <c r="A5" s="15" t="s">
        <v>129</v>
      </c>
      <c r="B5" s="15" t="s">
        <v>12</v>
      </c>
      <c r="C5" s="15" t="s">
        <v>236</v>
      </c>
      <c r="D5" s="15" t="s">
        <v>130</v>
      </c>
      <c r="E5" s="30">
        <f>IF(B5="","",VLOOKUP(B5,dagsoorttabel1,2,FALSE))</f>
        <v>1</v>
      </c>
      <c r="F5" s="30">
        <v>1</v>
      </c>
      <c r="G5" s="30">
        <f>IF(prodnorm23&gt;0,1/ROUND(prodnorm23,4),0)</f>
        <v>0</v>
      </c>
      <c r="H5" s="32">
        <f>ROUND(dagwerk23,4+2)</f>
        <v>0</v>
      </c>
      <c r="I5" s="33">
        <f>ROUND(uurtarief23,2)</f>
        <v>0</v>
      </c>
      <c r="J5" s="30">
        <v>527</v>
      </c>
      <c r="K5" s="30">
        <v>417.5</v>
      </c>
      <c r="L5" s="30">
        <v>432</v>
      </c>
      <c r="M5" s="30">
        <v>731.5</v>
      </c>
      <c r="N5" s="30">
        <v>881.34999999999991</v>
      </c>
      <c r="O5" s="30">
        <v>915.05000000000007</v>
      </c>
      <c r="P5" s="30">
        <v>0</v>
      </c>
      <c r="Q5" s="30">
        <v>1399.1000000000001</v>
      </c>
      <c r="R5" s="30">
        <v>338.9</v>
      </c>
      <c r="S5" s="30">
        <v>0</v>
      </c>
      <c r="T5" s="30">
        <v>0</v>
      </c>
      <c r="U5" s="30">
        <v>325.7</v>
      </c>
      <c r="V5" s="30">
        <v>78.5</v>
      </c>
      <c r="W5" s="30">
        <v>265.89999999999998</v>
      </c>
      <c r="X5" s="30">
        <v>180.32000000000002</v>
      </c>
      <c r="Y5" s="30">
        <v>265.66000000000003</v>
      </c>
      <c r="Z5" s="30">
        <v>0</v>
      </c>
      <c r="AA5" s="30">
        <v>0</v>
      </c>
      <c r="AB5" s="30">
        <v>0</v>
      </c>
      <c r="AC5" s="30">
        <v>30.419999999999998</v>
      </c>
      <c r="AD5" s="30">
        <v>26.4</v>
      </c>
    </row>
    <row r="6" spans="1:30" x14ac:dyDescent="0.2">
      <c r="A6" s="20" t="s">
        <v>129</v>
      </c>
      <c r="B6" s="20" t="s">
        <v>10</v>
      </c>
      <c r="C6" s="20" t="s">
        <v>236</v>
      </c>
      <c r="D6" s="20" t="s">
        <v>130</v>
      </c>
      <c r="E6" s="34">
        <f>IF(B6="","",VLOOKUP(B6,dagsoorttabel1,2,FALSE))</f>
        <v>1.1428571428571428</v>
      </c>
      <c r="F6" s="34">
        <v>1</v>
      </c>
      <c r="G6" s="34">
        <f>IF(prodnorm24&gt;0,1/ROUND(prodnorm24,4),0)</f>
        <v>0</v>
      </c>
      <c r="H6" s="36">
        <f>ROUND(dagwerk24,4+2)</f>
        <v>0</v>
      </c>
      <c r="I6" s="37">
        <f>ROUND(uurtarief24,2)</f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131.38999999999999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</row>
    <row r="7" spans="1:30" x14ac:dyDescent="0.2">
      <c r="A7" s="20" t="s">
        <v>132</v>
      </c>
      <c r="B7" s="20" t="s">
        <v>18</v>
      </c>
      <c r="C7" s="20" t="s">
        <v>236</v>
      </c>
      <c r="D7" s="20" t="s">
        <v>130</v>
      </c>
      <c r="E7" s="34">
        <f>IF(B7="","",VLOOKUP(B7,dagsoorttabel1,2,FALSE))</f>
        <v>0.48571428571428571</v>
      </c>
      <c r="F7" s="34">
        <v>1</v>
      </c>
      <c r="G7" s="34">
        <f>IF(prodnorm25&gt;0,1/ROUND(prodnorm25,4),0)</f>
        <v>0</v>
      </c>
      <c r="H7" s="36">
        <f>ROUND(dagwerk25,4+2)</f>
        <v>0</v>
      </c>
      <c r="I7" s="37">
        <f>ROUND(uurtarief25,2)</f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898.3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</row>
    <row r="8" spans="1:30" x14ac:dyDescent="0.2">
      <c r="A8" s="20" t="s">
        <v>132</v>
      </c>
      <c r="B8" s="20" t="s">
        <v>21</v>
      </c>
      <c r="C8" s="20" t="s">
        <v>236</v>
      </c>
      <c r="D8" s="20" t="s">
        <v>130</v>
      </c>
      <c r="E8" s="34">
        <f>IF(B8="","",VLOOKUP(B8,dagsoorttabel1,2,FALSE))</f>
        <v>0.4</v>
      </c>
      <c r="F8" s="34">
        <v>1</v>
      </c>
      <c r="G8" s="34">
        <f>IF(prodnorm26&gt;0,1/ROUND(prodnorm26,4),0)</f>
        <v>0</v>
      </c>
      <c r="H8" s="36">
        <f>ROUND(dagwerk26,4+2)</f>
        <v>0</v>
      </c>
      <c r="I8" s="37">
        <f>ROUND(uurtarief26,2)</f>
        <v>0</v>
      </c>
      <c r="J8" s="34">
        <v>335.48</v>
      </c>
      <c r="K8" s="34">
        <v>244.69</v>
      </c>
      <c r="L8" s="34">
        <v>239.65999999999997</v>
      </c>
      <c r="M8" s="34">
        <v>711.32999999999993</v>
      </c>
      <c r="N8" s="34">
        <v>1202.6299999999999</v>
      </c>
      <c r="O8" s="34">
        <v>928.20999999999992</v>
      </c>
      <c r="P8" s="34">
        <v>731.23</v>
      </c>
      <c r="Q8" s="34">
        <v>2362.16</v>
      </c>
      <c r="R8" s="34">
        <v>151.19999999999999</v>
      </c>
      <c r="S8" s="34">
        <v>0</v>
      </c>
      <c r="T8" s="34">
        <v>0</v>
      </c>
      <c r="U8" s="34">
        <v>265.2</v>
      </c>
      <c r="V8" s="34">
        <v>61.5</v>
      </c>
      <c r="W8" s="34">
        <v>354</v>
      </c>
      <c r="X8" s="34">
        <v>163.23000000000002</v>
      </c>
      <c r="Y8" s="34">
        <v>817.26000000000022</v>
      </c>
      <c r="Z8" s="34">
        <v>14.75</v>
      </c>
      <c r="AA8" s="34">
        <v>347.21000000000004</v>
      </c>
      <c r="AB8" s="34">
        <v>0</v>
      </c>
      <c r="AC8" s="34">
        <v>38.5</v>
      </c>
      <c r="AD8" s="34">
        <v>347.2</v>
      </c>
    </row>
    <row r="9" spans="1:30" x14ac:dyDescent="0.2">
      <c r="A9" s="20" t="s">
        <v>132</v>
      </c>
      <c r="B9" s="20" t="s">
        <v>19</v>
      </c>
      <c r="C9" s="20" t="s">
        <v>236</v>
      </c>
      <c r="D9" s="20" t="s">
        <v>130</v>
      </c>
      <c r="E9" s="34">
        <f>IF(B9="","",VLOOKUP(B9,dagsoorttabel1,2,FALSE))</f>
        <v>0.45714285714285713</v>
      </c>
      <c r="F9" s="34">
        <v>1</v>
      </c>
      <c r="G9" s="34">
        <f>IF(prodnorm27&gt;0,1/ROUND(prodnorm27,4),0)</f>
        <v>0</v>
      </c>
      <c r="H9" s="36">
        <f>ROUND(dagwerk27,4+2)</f>
        <v>0</v>
      </c>
      <c r="I9" s="37">
        <f>ROUND(uurtarief27,2)</f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99.35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</row>
    <row r="10" spans="1:30" x14ac:dyDescent="0.2">
      <c r="A10" s="20" t="s">
        <v>134</v>
      </c>
      <c r="B10" s="20" t="s">
        <v>12</v>
      </c>
      <c r="C10" s="20" t="s">
        <v>236</v>
      </c>
      <c r="D10" s="20" t="s">
        <v>130</v>
      </c>
      <c r="E10" s="34">
        <f>IF(B10="","",VLOOKUP(B10,dagsoorttabel1,2,FALSE))</f>
        <v>1</v>
      </c>
      <c r="F10" s="34">
        <v>1</v>
      </c>
      <c r="G10" s="34">
        <f>IF(prodnorm28&gt;0,1/ROUND(prodnorm28,4),0)</f>
        <v>0</v>
      </c>
      <c r="H10" s="36">
        <f>ROUND(dagwerk28,4+2)</f>
        <v>0</v>
      </c>
      <c r="I10" s="37">
        <f>ROUND(uurtarief28,2)</f>
        <v>0</v>
      </c>
      <c r="J10" s="34">
        <v>0</v>
      </c>
      <c r="K10" s="34">
        <v>36.71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11.739999999999998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</row>
    <row r="11" spans="1:30" x14ac:dyDescent="0.2">
      <c r="A11" s="20" t="s">
        <v>135</v>
      </c>
      <c r="B11" s="20" t="s">
        <v>12</v>
      </c>
      <c r="C11" s="20" t="s">
        <v>236</v>
      </c>
      <c r="D11" s="20" t="s">
        <v>130</v>
      </c>
      <c r="E11" s="34">
        <f>IF(B11="","",VLOOKUP(B11,dagsoorttabel1,2,FALSE))</f>
        <v>1</v>
      </c>
      <c r="F11" s="34">
        <v>1</v>
      </c>
      <c r="G11" s="34">
        <f>IF(prodnorm29&gt;0,1/ROUND(prodnorm29,4),0)</f>
        <v>0</v>
      </c>
      <c r="H11" s="36">
        <f>ROUND(dagwerk29,4+2)</f>
        <v>0</v>
      </c>
      <c r="I11" s="37">
        <f>ROUND(uurtarief29,2)</f>
        <v>0</v>
      </c>
      <c r="J11" s="34">
        <v>96.17</v>
      </c>
      <c r="K11" s="34">
        <v>105.19000000000003</v>
      </c>
      <c r="L11" s="34">
        <v>3.75</v>
      </c>
      <c r="M11" s="34">
        <v>6</v>
      </c>
      <c r="N11" s="34">
        <v>0</v>
      </c>
      <c r="O11" s="34">
        <v>133.54</v>
      </c>
      <c r="P11" s="34">
        <v>0</v>
      </c>
      <c r="Q11" s="34">
        <v>173.70000000000002</v>
      </c>
      <c r="R11" s="34">
        <v>0</v>
      </c>
      <c r="S11" s="34">
        <v>0</v>
      </c>
      <c r="T11" s="34">
        <v>0</v>
      </c>
      <c r="U11" s="34">
        <v>15.9</v>
      </c>
      <c r="V11" s="34">
        <v>0</v>
      </c>
      <c r="W11" s="34">
        <v>0</v>
      </c>
      <c r="X11" s="34">
        <v>0</v>
      </c>
      <c r="Y11" s="34">
        <v>2.66</v>
      </c>
      <c r="Z11" s="34">
        <v>0</v>
      </c>
      <c r="AA11" s="34">
        <v>0</v>
      </c>
      <c r="AB11" s="34">
        <v>0</v>
      </c>
      <c r="AC11" s="34">
        <v>2.1</v>
      </c>
      <c r="AD11" s="34">
        <v>0</v>
      </c>
    </row>
    <row r="12" spans="1:30" x14ac:dyDescent="0.2">
      <c r="A12" s="20" t="s">
        <v>135</v>
      </c>
      <c r="B12" s="20" t="s">
        <v>24</v>
      </c>
      <c r="C12" s="20" t="s">
        <v>236</v>
      </c>
      <c r="D12" s="20" t="s">
        <v>130</v>
      </c>
      <c r="E12" s="34">
        <f>IF(B12="","",VLOOKUP(B12,dagsoorttabel1,2,FALSE))</f>
        <v>0.2</v>
      </c>
      <c r="F12" s="34">
        <v>1</v>
      </c>
      <c r="G12" s="34">
        <f>IF(prodnorm30&gt;0,1/ROUND(prodnorm30,4),0)</f>
        <v>0</v>
      </c>
      <c r="H12" s="36">
        <f>ROUND(dagwerk30,4+2)</f>
        <v>0</v>
      </c>
      <c r="I12" s="37">
        <f>ROUND(uurtarief30,2)</f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123</v>
      </c>
      <c r="AB12" s="34">
        <v>0</v>
      </c>
      <c r="AC12" s="34">
        <v>0</v>
      </c>
      <c r="AD12" s="34">
        <v>0</v>
      </c>
    </row>
    <row r="13" spans="1:30" x14ac:dyDescent="0.2">
      <c r="A13" s="20" t="s">
        <v>137</v>
      </c>
      <c r="B13" s="20" t="s">
        <v>12</v>
      </c>
      <c r="C13" s="20" t="s">
        <v>236</v>
      </c>
      <c r="D13" s="20" t="s">
        <v>130</v>
      </c>
      <c r="E13" s="34">
        <f>IF(B13="","",VLOOKUP(B13,dagsoorttabel1,2,FALSE))</f>
        <v>1</v>
      </c>
      <c r="F13" s="34">
        <v>1</v>
      </c>
      <c r="G13" s="34">
        <f>IF(prodnorm31&gt;0,1/ROUND(prodnorm31,4),0)</f>
        <v>0</v>
      </c>
      <c r="H13" s="36">
        <f>ROUND(dagwerk31,4+2)</f>
        <v>0</v>
      </c>
      <c r="I13" s="37">
        <f>ROUND(uurtarief31,2)</f>
        <v>0</v>
      </c>
      <c r="J13" s="34">
        <v>40.72</v>
      </c>
      <c r="K13" s="34">
        <v>0</v>
      </c>
      <c r="L13" s="34">
        <v>165.5</v>
      </c>
      <c r="M13" s="34">
        <v>0</v>
      </c>
      <c r="N13" s="34">
        <v>0</v>
      </c>
      <c r="O13" s="34">
        <v>43.379999999999995</v>
      </c>
      <c r="P13" s="34">
        <v>0</v>
      </c>
      <c r="Q13" s="34">
        <v>41</v>
      </c>
      <c r="R13" s="34">
        <v>0</v>
      </c>
      <c r="S13" s="34">
        <v>0</v>
      </c>
      <c r="T13" s="34">
        <v>0</v>
      </c>
      <c r="U13" s="34">
        <v>33.700000000000003</v>
      </c>
      <c r="V13" s="34">
        <v>44.8</v>
      </c>
      <c r="W13" s="34">
        <v>0</v>
      </c>
      <c r="X13" s="34">
        <v>0</v>
      </c>
      <c r="Y13" s="34">
        <v>13.53</v>
      </c>
      <c r="Z13" s="34">
        <v>0</v>
      </c>
      <c r="AA13" s="34">
        <v>60</v>
      </c>
      <c r="AB13" s="34">
        <v>18</v>
      </c>
      <c r="AC13" s="34">
        <v>5.2</v>
      </c>
      <c r="AD13" s="34">
        <v>29.7</v>
      </c>
    </row>
    <row r="14" spans="1:30" x14ac:dyDescent="0.2">
      <c r="A14" s="20" t="s">
        <v>137</v>
      </c>
      <c r="B14" s="20" t="s">
        <v>10</v>
      </c>
      <c r="C14" s="20" t="s">
        <v>236</v>
      </c>
      <c r="D14" s="20" t="s">
        <v>130</v>
      </c>
      <c r="E14" s="34">
        <f>IF(B14="","",VLOOKUP(B14,dagsoorttabel1,2,FALSE))</f>
        <v>1.1428571428571428</v>
      </c>
      <c r="F14" s="34">
        <v>1</v>
      </c>
      <c r="G14" s="34">
        <f>IF(prodnorm32&gt;0,1/ROUND(prodnorm32,4),0)</f>
        <v>0</v>
      </c>
      <c r="H14" s="36">
        <f>ROUND(dagwerk32,4+2)</f>
        <v>0</v>
      </c>
      <c r="I14" s="37">
        <f>ROUND(uurtarief32,2)</f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16.510000000000002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</row>
    <row r="15" spans="1:30" x14ac:dyDescent="0.2">
      <c r="A15" s="20" t="s">
        <v>139</v>
      </c>
      <c r="B15" s="20" t="s">
        <v>12</v>
      </c>
      <c r="C15" s="20" t="s">
        <v>236</v>
      </c>
      <c r="D15" s="20" t="s">
        <v>130</v>
      </c>
      <c r="E15" s="34">
        <f>IF(B15="","",VLOOKUP(B15,dagsoorttabel1,2,FALSE))</f>
        <v>1</v>
      </c>
      <c r="F15" s="34">
        <v>1</v>
      </c>
      <c r="G15" s="34">
        <f>IF(prodnorm33&gt;0,1/ROUND(prodnorm33,4),0)</f>
        <v>0</v>
      </c>
      <c r="H15" s="36">
        <f>ROUND(dagwerk33,4+2)</f>
        <v>0</v>
      </c>
      <c r="I15" s="37">
        <f>ROUND(uurtarief33,2)</f>
        <v>0</v>
      </c>
      <c r="J15" s="34">
        <v>3.4</v>
      </c>
      <c r="K15" s="34">
        <v>0</v>
      </c>
      <c r="L15" s="34">
        <v>13.86</v>
      </c>
      <c r="M15" s="34">
        <v>4</v>
      </c>
      <c r="N15" s="34">
        <v>3.23</v>
      </c>
      <c r="O15" s="34">
        <v>14.399999999999999</v>
      </c>
      <c r="P15" s="34">
        <v>16.939999999999998</v>
      </c>
      <c r="Q15" s="34">
        <v>6</v>
      </c>
      <c r="R15" s="34">
        <v>3.7</v>
      </c>
      <c r="S15" s="34">
        <v>0</v>
      </c>
      <c r="T15" s="34">
        <v>0</v>
      </c>
      <c r="U15" s="34">
        <v>7</v>
      </c>
      <c r="V15" s="34">
        <v>0</v>
      </c>
      <c r="W15" s="34">
        <v>0</v>
      </c>
      <c r="X15" s="34">
        <v>0</v>
      </c>
      <c r="Y15" s="34">
        <v>4.07</v>
      </c>
      <c r="Z15" s="34">
        <v>0</v>
      </c>
      <c r="AA15" s="34">
        <v>1.5</v>
      </c>
      <c r="AB15" s="34">
        <v>0</v>
      </c>
      <c r="AC15" s="34">
        <v>0</v>
      </c>
      <c r="AD15" s="34">
        <v>3.4</v>
      </c>
    </row>
    <row r="16" spans="1:30" x14ac:dyDescent="0.2">
      <c r="A16" s="20" t="s">
        <v>141</v>
      </c>
      <c r="B16" s="20" t="s">
        <v>12</v>
      </c>
      <c r="C16" s="20" t="s">
        <v>236</v>
      </c>
      <c r="D16" s="20" t="s">
        <v>130</v>
      </c>
      <c r="E16" s="34">
        <f>IF(B16="","",VLOOKUP(B16,dagsoorttabel1,2,FALSE))</f>
        <v>1</v>
      </c>
      <c r="F16" s="34">
        <v>1</v>
      </c>
      <c r="G16" s="34">
        <f>IF(prodnorm34&gt;0,1/ROUND(prodnorm34,4),0)</f>
        <v>0</v>
      </c>
      <c r="H16" s="36">
        <f>ROUND(dagwerk34,4+2)</f>
        <v>0</v>
      </c>
      <c r="I16" s="37">
        <f>ROUND(uurtarief34,2)</f>
        <v>0</v>
      </c>
      <c r="J16" s="34">
        <v>0</v>
      </c>
      <c r="K16" s="34">
        <v>255.47</v>
      </c>
      <c r="L16" s="34">
        <v>0</v>
      </c>
      <c r="M16" s="34">
        <v>0</v>
      </c>
      <c r="N16" s="34">
        <v>0</v>
      </c>
      <c r="O16" s="34">
        <v>0</v>
      </c>
      <c r="P16" s="34">
        <v>381</v>
      </c>
      <c r="Q16" s="34">
        <v>252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</row>
    <row r="17" spans="1:30" x14ac:dyDescent="0.2">
      <c r="A17" s="20" t="s">
        <v>143</v>
      </c>
      <c r="B17" s="20" t="s">
        <v>12</v>
      </c>
      <c r="C17" s="20" t="s">
        <v>236</v>
      </c>
      <c r="D17" s="20" t="s">
        <v>130</v>
      </c>
      <c r="E17" s="34">
        <f>IF(B17="","",VLOOKUP(B17,dagsoorttabel1,2,FALSE))</f>
        <v>1</v>
      </c>
      <c r="F17" s="34">
        <v>1</v>
      </c>
      <c r="G17" s="34">
        <f>IF(prodnorm35&gt;0,1/ROUND(prodnorm35,4),0)</f>
        <v>0</v>
      </c>
      <c r="H17" s="36">
        <f>ROUND(dagwerk35,4+2)</f>
        <v>0</v>
      </c>
      <c r="I17" s="37">
        <f>ROUND(uurtarief35,2)</f>
        <v>0</v>
      </c>
      <c r="J17" s="34">
        <v>0</v>
      </c>
      <c r="K17" s="34">
        <v>0</v>
      </c>
      <c r="L17" s="34">
        <v>27.36</v>
      </c>
      <c r="M17" s="34">
        <v>0</v>
      </c>
      <c r="N17" s="34">
        <v>10</v>
      </c>
      <c r="O17" s="34">
        <v>12.959999999999999</v>
      </c>
      <c r="P17" s="34">
        <v>413.97999999999996</v>
      </c>
      <c r="Q17" s="34">
        <v>226.23000000000002</v>
      </c>
      <c r="R17" s="34">
        <v>23</v>
      </c>
      <c r="S17" s="34">
        <v>0</v>
      </c>
      <c r="T17" s="34">
        <v>0</v>
      </c>
      <c r="U17" s="34">
        <v>12.4</v>
      </c>
      <c r="V17" s="34">
        <v>28.6</v>
      </c>
      <c r="W17" s="34">
        <v>35</v>
      </c>
      <c r="X17" s="34">
        <v>8.83</v>
      </c>
      <c r="Y17" s="34">
        <v>24.74</v>
      </c>
      <c r="Z17" s="34">
        <v>0</v>
      </c>
      <c r="AA17" s="34">
        <v>29.2</v>
      </c>
      <c r="AB17" s="34">
        <v>0</v>
      </c>
      <c r="AC17" s="34">
        <v>0</v>
      </c>
      <c r="AD17" s="34">
        <v>0</v>
      </c>
    </row>
    <row r="18" spans="1:30" x14ac:dyDescent="0.2">
      <c r="A18" s="20" t="s">
        <v>143</v>
      </c>
      <c r="B18" s="20" t="s">
        <v>9</v>
      </c>
      <c r="C18" s="20" t="s">
        <v>236</v>
      </c>
      <c r="D18" s="20" t="s">
        <v>130</v>
      </c>
      <c r="E18" s="34">
        <f>IF(B18="","",VLOOKUP(B18,dagsoorttabel1,2,FALSE))</f>
        <v>1.2142857142857142</v>
      </c>
      <c r="F18" s="34">
        <v>1</v>
      </c>
      <c r="G18" s="34">
        <f>IF(prodnorm36&gt;0,1/ROUND(prodnorm36,4),0)</f>
        <v>0</v>
      </c>
      <c r="H18" s="36">
        <f>ROUND(dagwerk36,4+2)</f>
        <v>0</v>
      </c>
      <c r="I18" s="37">
        <f>ROUND(uurtarief36,2)</f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22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</row>
    <row r="19" spans="1:30" x14ac:dyDescent="0.2">
      <c r="A19" s="20" t="s">
        <v>145</v>
      </c>
      <c r="B19" s="20" t="s">
        <v>17</v>
      </c>
      <c r="C19" s="20" t="s">
        <v>236</v>
      </c>
      <c r="D19" s="20" t="s">
        <v>130</v>
      </c>
      <c r="E19" s="34">
        <f>IF(B19="","",VLOOKUP(B19,dagsoorttabel1,2,FALSE))</f>
        <v>0.6</v>
      </c>
      <c r="F19" s="34">
        <v>1</v>
      </c>
      <c r="G19" s="34">
        <f>IF(prodnorm37&gt;0,1/ROUND(prodnorm37,4),0)</f>
        <v>0</v>
      </c>
      <c r="H19" s="36">
        <f>ROUND(dagwerk37,4+2)</f>
        <v>0</v>
      </c>
      <c r="I19" s="37">
        <f>ROUND(uurtarief37,2)</f>
        <v>0</v>
      </c>
      <c r="J19" s="34">
        <v>458.71</v>
      </c>
      <c r="K19" s="34">
        <v>303.67999999999995</v>
      </c>
      <c r="L19" s="34">
        <v>93.6</v>
      </c>
      <c r="M19" s="34">
        <v>711.03</v>
      </c>
      <c r="N19" s="34">
        <v>1369.67</v>
      </c>
      <c r="O19" s="34">
        <v>0</v>
      </c>
      <c r="P19" s="34">
        <v>323.69</v>
      </c>
      <c r="Q19" s="34">
        <v>513.66</v>
      </c>
      <c r="R19" s="34">
        <v>158.19999999999999</v>
      </c>
      <c r="S19" s="34">
        <v>0</v>
      </c>
      <c r="T19" s="34">
        <v>0</v>
      </c>
      <c r="U19" s="34">
        <v>411.80000000000007</v>
      </c>
      <c r="V19" s="34">
        <v>0</v>
      </c>
      <c r="W19" s="34">
        <v>0</v>
      </c>
      <c r="X19" s="34">
        <v>0</v>
      </c>
      <c r="Y19" s="34">
        <v>124.6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</row>
    <row r="20" spans="1:30" x14ac:dyDescent="0.2">
      <c r="A20" s="20" t="s">
        <v>147</v>
      </c>
      <c r="B20" s="20" t="s">
        <v>12</v>
      </c>
      <c r="C20" s="20" t="s">
        <v>236</v>
      </c>
      <c r="D20" s="20" t="s">
        <v>130</v>
      </c>
      <c r="E20" s="34">
        <f>IF(B20="","",VLOOKUP(B20,dagsoorttabel1,2,FALSE))</f>
        <v>1</v>
      </c>
      <c r="F20" s="34">
        <v>1</v>
      </c>
      <c r="G20" s="34">
        <f>IF(prodnorm38&gt;0,1/ROUND(prodnorm38,4),0)</f>
        <v>0</v>
      </c>
      <c r="H20" s="36">
        <f>ROUND(dagwerk38,4+2)</f>
        <v>0</v>
      </c>
      <c r="I20" s="37">
        <f>ROUND(uurtarief38,2)</f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199.20000000000002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</row>
    <row r="21" spans="1:30" x14ac:dyDescent="0.2">
      <c r="A21" s="20" t="s">
        <v>148</v>
      </c>
      <c r="B21" s="20" t="s">
        <v>24</v>
      </c>
      <c r="C21" s="20" t="s">
        <v>236</v>
      </c>
      <c r="D21" s="20" t="s">
        <v>130</v>
      </c>
      <c r="E21" s="34">
        <f>IF(B21="","",VLOOKUP(B21,dagsoorttabel1,2,FALSE))</f>
        <v>0.2</v>
      </c>
      <c r="F21" s="34">
        <v>1</v>
      </c>
      <c r="G21" s="34">
        <f>IF(prodnorm39&gt;0,1/ROUND(prodnorm39,4),0)</f>
        <v>0</v>
      </c>
      <c r="H21" s="36">
        <f>ROUND(dagwerk39,4+2)</f>
        <v>0</v>
      </c>
      <c r="I21" s="37">
        <f>ROUND(uurtarief39,2)</f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6</v>
      </c>
      <c r="AB21" s="34">
        <v>0</v>
      </c>
      <c r="AC21" s="34">
        <v>0</v>
      </c>
      <c r="AD21" s="34">
        <v>0</v>
      </c>
    </row>
    <row r="22" spans="1:30" x14ac:dyDescent="0.2">
      <c r="A22" s="20" t="s">
        <v>150</v>
      </c>
      <c r="B22" s="20" t="s">
        <v>17</v>
      </c>
      <c r="C22" s="20" t="s">
        <v>236</v>
      </c>
      <c r="D22" s="20" t="s">
        <v>130</v>
      </c>
      <c r="E22" s="34">
        <f>IF(B22="","",VLOOKUP(B22,dagsoorttabel1,2,FALSE))</f>
        <v>0.6</v>
      </c>
      <c r="F22" s="34">
        <v>1</v>
      </c>
      <c r="G22" s="34">
        <f>IF(prodnorm40&gt;0,1/ROUND(prodnorm40,4),0)</f>
        <v>0</v>
      </c>
      <c r="H22" s="36">
        <f>ROUND(dagwerk40,4+2)</f>
        <v>0</v>
      </c>
      <c r="I22" s="37">
        <f>ROUND(uurtarief40,2)</f>
        <v>0</v>
      </c>
      <c r="J22" s="34">
        <v>1032.71</v>
      </c>
      <c r="K22" s="34">
        <v>1184.56</v>
      </c>
      <c r="L22" s="34">
        <v>902.42000000000007</v>
      </c>
      <c r="M22" s="34">
        <v>2095.1899999999996</v>
      </c>
      <c r="N22" s="34">
        <v>1370.92</v>
      </c>
      <c r="O22" s="34">
        <v>3960.4500000000003</v>
      </c>
      <c r="P22" s="34">
        <v>1096.25</v>
      </c>
      <c r="Q22" s="34">
        <v>5411.45</v>
      </c>
      <c r="R22" s="34">
        <v>973.02</v>
      </c>
      <c r="S22" s="34">
        <v>0</v>
      </c>
      <c r="T22" s="34">
        <v>0</v>
      </c>
      <c r="U22" s="34">
        <v>1416.2</v>
      </c>
      <c r="V22" s="34">
        <v>148.5</v>
      </c>
      <c r="W22" s="34">
        <v>1033.4000000000001</v>
      </c>
      <c r="X22" s="34">
        <v>995.51</v>
      </c>
      <c r="Y22" s="34">
        <v>1219.6500000000001</v>
      </c>
      <c r="Z22" s="34">
        <v>0</v>
      </c>
      <c r="AA22" s="34">
        <v>1181.6299999999999</v>
      </c>
      <c r="AB22" s="34">
        <v>748.86</v>
      </c>
      <c r="AC22" s="34">
        <v>194.38</v>
      </c>
      <c r="AD22" s="34">
        <v>456.4</v>
      </c>
    </row>
    <row r="23" spans="1:30" x14ac:dyDescent="0.2">
      <c r="A23" s="20" t="s">
        <v>150</v>
      </c>
      <c r="B23" s="20" t="s">
        <v>15</v>
      </c>
      <c r="C23" s="20" t="s">
        <v>236</v>
      </c>
      <c r="D23" s="20" t="s">
        <v>130</v>
      </c>
      <c r="E23" s="34">
        <f>IF(B23="","",VLOOKUP(B23,dagsoorttabel1,2,FALSE))</f>
        <v>0.68571428571428572</v>
      </c>
      <c r="F23" s="34">
        <v>1</v>
      </c>
      <c r="G23" s="34">
        <f>IF(prodnorm41&gt;0,1/ROUND(prodnorm41,4),0)</f>
        <v>0</v>
      </c>
      <c r="H23" s="36">
        <f>ROUND(dagwerk41,4+2)</f>
        <v>0</v>
      </c>
      <c r="I23" s="37">
        <f>ROUND(uurtarief41,2)</f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99.77</v>
      </c>
      <c r="P23" s="34">
        <v>0</v>
      </c>
      <c r="Q23" s="34">
        <v>0</v>
      </c>
      <c r="R23" s="34">
        <v>0</v>
      </c>
      <c r="S23" s="34">
        <v>235.19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</row>
    <row r="24" spans="1:30" x14ac:dyDescent="0.2">
      <c r="A24" s="20" t="s">
        <v>151</v>
      </c>
      <c r="B24" s="20" t="s">
        <v>12</v>
      </c>
      <c r="C24" s="20" t="s">
        <v>236</v>
      </c>
      <c r="D24" s="20" t="s">
        <v>130</v>
      </c>
      <c r="E24" s="34">
        <f>IF(B24="","",VLOOKUP(B24,dagsoorttabel1,2,FALSE))</f>
        <v>1</v>
      </c>
      <c r="F24" s="34">
        <v>1</v>
      </c>
      <c r="G24" s="34">
        <f>IF(prodnorm42&gt;0,1/ROUND(prodnorm42,4),0)</f>
        <v>0</v>
      </c>
      <c r="H24" s="36">
        <f>ROUND(dagwerk42,4+2)</f>
        <v>0</v>
      </c>
      <c r="I24" s="37">
        <f>ROUND(uurtarief42,2)</f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104.5</v>
      </c>
      <c r="Q24" s="34">
        <v>242.57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</row>
    <row r="25" spans="1:30" x14ac:dyDescent="0.2">
      <c r="A25" s="20" t="s">
        <v>152</v>
      </c>
      <c r="B25" s="20" t="s">
        <v>18</v>
      </c>
      <c r="C25" s="20" t="s">
        <v>236</v>
      </c>
      <c r="D25" s="20" t="s">
        <v>130</v>
      </c>
      <c r="E25" s="34">
        <f>IF(B25="","",VLOOKUP(B25,dagsoorttabel1,2,FALSE))</f>
        <v>0.48571428571428571</v>
      </c>
      <c r="F25" s="34">
        <v>1</v>
      </c>
      <c r="G25" s="34">
        <f>IF(prodnorm43&gt;0,1/ROUND(prodnorm43,4),0)</f>
        <v>0</v>
      </c>
      <c r="H25" s="36">
        <f>ROUND(dagwerk43,4+2)</f>
        <v>0</v>
      </c>
      <c r="I25" s="37">
        <f>ROUND(uurtarief43,2)</f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175.1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</row>
    <row r="26" spans="1:30" x14ac:dyDescent="0.2">
      <c r="A26" s="20" t="s">
        <v>152</v>
      </c>
      <c r="B26" s="20" t="s">
        <v>21</v>
      </c>
      <c r="C26" s="20" t="s">
        <v>236</v>
      </c>
      <c r="D26" s="20" t="s">
        <v>130</v>
      </c>
      <c r="E26" s="34">
        <f>IF(B26="","",VLOOKUP(B26,dagsoorttabel1,2,FALSE))</f>
        <v>0.4</v>
      </c>
      <c r="F26" s="34">
        <v>1</v>
      </c>
      <c r="G26" s="34">
        <f>IF(prodnorm44&gt;0,1/ROUND(prodnorm44,4),0)</f>
        <v>0</v>
      </c>
      <c r="H26" s="36">
        <f>ROUND(dagwerk44,4+2)</f>
        <v>0</v>
      </c>
      <c r="I26" s="37">
        <f>ROUND(uurtarief44,2)</f>
        <v>0</v>
      </c>
      <c r="J26" s="34">
        <v>140.5</v>
      </c>
      <c r="K26" s="34">
        <v>0</v>
      </c>
      <c r="L26" s="34">
        <v>0</v>
      </c>
      <c r="M26" s="34">
        <v>0</v>
      </c>
      <c r="N26" s="34">
        <v>0</v>
      </c>
      <c r="O26" s="34">
        <v>137.30000000000001</v>
      </c>
      <c r="P26" s="34">
        <v>83.35</v>
      </c>
      <c r="Q26" s="34">
        <v>33.54</v>
      </c>
      <c r="R26" s="34">
        <v>69.75</v>
      </c>
      <c r="S26" s="34">
        <v>0</v>
      </c>
      <c r="T26" s="34">
        <v>0</v>
      </c>
      <c r="U26" s="34">
        <v>47.8</v>
      </c>
      <c r="V26" s="34">
        <v>0</v>
      </c>
      <c r="W26" s="34">
        <v>50.2</v>
      </c>
      <c r="X26" s="34">
        <v>0</v>
      </c>
      <c r="Y26" s="34">
        <v>0</v>
      </c>
      <c r="Z26" s="34">
        <v>0</v>
      </c>
      <c r="AA26" s="34">
        <v>87.4</v>
      </c>
      <c r="AB26" s="34">
        <v>0</v>
      </c>
      <c r="AC26" s="34">
        <v>0</v>
      </c>
      <c r="AD26" s="34">
        <v>0</v>
      </c>
    </row>
    <row r="27" spans="1:30" x14ac:dyDescent="0.2">
      <c r="A27" s="20" t="s">
        <v>154</v>
      </c>
      <c r="B27" s="20" t="s">
        <v>12</v>
      </c>
      <c r="C27" s="20" t="s">
        <v>236</v>
      </c>
      <c r="D27" s="20" t="s">
        <v>130</v>
      </c>
      <c r="E27" s="34">
        <f>IF(B27="","",VLOOKUP(B27,dagsoorttabel1,2,FALSE))</f>
        <v>1</v>
      </c>
      <c r="F27" s="34">
        <v>1</v>
      </c>
      <c r="G27" s="34">
        <f>IF(prodnorm45&gt;0,1/ROUND(prodnorm45,4),0)</f>
        <v>0</v>
      </c>
      <c r="H27" s="36">
        <f>ROUND(dagwerk45,4+2)</f>
        <v>0</v>
      </c>
      <c r="I27" s="37">
        <f>ROUND(uurtarief45,2)</f>
        <v>0</v>
      </c>
      <c r="J27" s="34">
        <v>0</v>
      </c>
      <c r="K27" s="34">
        <v>0</v>
      </c>
      <c r="L27" s="34">
        <v>70.5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</row>
    <row r="28" spans="1:30" x14ac:dyDescent="0.2">
      <c r="A28" s="20" t="s">
        <v>155</v>
      </c>
      <c r="B28" s="20" t="s">
        <v>17</v>
      </c>
      <c r="C28" s="20" t="s">
        <v>236</v>
      </c>
      <c r="D28" s="20" t="s">
        <v>130</v>
      </c>
      <c r="E28" s="34">
        <f>IF(B28="","",VLOOKUP(B28,dagsoorttabel1,2,FALSE))</f>
        <v>0.6</v>
      </c>
      <c r="F28" s="34">
        <v>1</v>
      </c>
      <c r="G28" s="34">
        <f>IF(prodnorm46&gt;0,1/ROUND(prodnorm46,4),0)</f>
        <v>0</v>
      </c>
      <c r="H28" s="36">
        <f>ROUND(dagwerk46,4+2)</f>
        <v>0</v>
      </c>
      <c r="I28" s="37">
        <f>ROUND(uurtarief46,2)</f>
        <v>0</v>
      </c>
      <c r="J28" s="34">
        <v>408.29999999999995</v>
      </c>
      <c r="K28" s="34">
        <v>0</v>
      </c>
      <c r="L28" s="34">
        <v>0</v>
      </c>
      <c r="M28" s="34">
        <v>51.82</v>
      </c>
      <c r="N28" s="34">
        <v>0</v>
      </c>
      <c r="O28" s="34">
        <v>0</v>
      </c>
      <c r="P28" s="34">
        <v>0</v>
      </c>
      <c r="Q28" s="34">
        <v>1462.6100000000001</v>
      </c>
      <c r="R28" s="34">
        <v>0</v>
      </c>
      <c r="S28" s="34">
        <v>0</v>
      </c>
      <c r="T28" s="34">
        <v>0</v>
      </c>
      <c r="U28" s="34">
        <v>300.09999999999997</v>
      </c>
      <c r="V28" s="34">
        <v>56.7</v>
      </c>
      <c r="W28" s="34">
        <v>0</v>
      </c>
      <c r="X28" s="34">
        <v>0</v>
      </c>
      <c r="Y28" s="34">
        <v>564.19000000000005</v>
      </c>
      <c r="Z28" s="34">
        <v>0</v>
      </c>
      <c r="AA28" s="34">
        <v>0</v>
      </c>
      <c r="AB28" s="34">
        <v>0</v>
      </c>
      <c r="AC28" s="34">
        <v>0</v>
      </c>
      <c r="AD28" s="34">
        <v>954.3</v>
      </c>
    </row>
    <row r="29" spans="1:30" x14ac:dyDescent="0.2">
      <c r="A29" s="20" t="s">
        <v>157</v>
      </c>
      <c r="B29" s="20" t="s">
        <v>12</v>
      </c>
      <c r="C29" s="20" t="s">
        <v>236</v>
      </c>
      <c r="D29" s="20" t="s">
        <v>130</v>
      </c>
      <c r="E29" s="34">
        <f>IF(B29="","",VLOOKUP(B29,dagsoorttabel1,2,FALSE))</f>
        <v>1</v>
      </c>
      <c r="F29" s="34">
        <v>1</v>
      </c>
      <c r="G29" s="34">
        <f>IF(prodnorm47&gt;0,1/ROUND(prodnorm47,4),0)</f>
        <v>0</v>
      </c>
      <c r="H29" s="36">
        <f>ROUND(dagwerk47,4+2)</f>
        <v>0</v>
      </c>
      <c r="I29" s="37">
        <f>ROUND(uurtarief47,2)</f>
        <v>0</v>
      </c>
      <c r="J29" s="34">
        <v>0</v>
      </c>
      <c r="K29" s="34">
        <v>0</v>
      </c>
      <c r="L29" s="34">
        <v>273.5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</row>
    <row r="30" spans="1:30" x14ac:dyDescent="0.2">
      <c r="A30" s="20" t="s">
        <v>159</v>
      </c>
      <c r="B30" s="20" t="s">
        <v>17</v>
      </c>
      <c r="C30" s="20" t="s">
        <v>236</v>
      </c>
      <c r="D30" s="20" t="s">
        <v>130</v>
      </c>
      <c r="E30" s="34">
        <f>IF(B30="","",VLOOKUP(B30,dagsoorttabel1,2,FALSE))</f>
        <v>0.6</v>
      </c>
      <c r="F30" s="34">
        <v>1</v>
      </c>
      <c r="G30" s="34">
        <f>IF(prodnorm48&gt;0,1/ROUND(prodnorm48,4),0)</f>
        <v>0</v>
      </c>
      <c r="H30" s="36">
        <f>ROUND(dagwerk48,4+2)</f>
        <v>0</v>
      </c>
      <c r="I30" s="37">
        <f>ROUND(uurtarief48,2)</f>
        <v>0</v>
      </c>
      <c r="J30" s="34">
        <v>144.63999999999999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147.07999999999998</v>
      </c>
      <c r="R30" s="34">
        <v>100.7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74.45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</row>
    <row r="31" spans="1:30" x14ac:dyDescent="0.2">
      <c r="A31" s="20" t="s">
        <v>161</v>
      </c>
      <c r="B31" s="20" t="s">
        <v>17</v>
      </c>
      <c r="C31" s="20" t="s">
        <v>236</v>
      </c>
      <c r="D31" s="20" t="s">
        <v>130</v>
      </c>
      <c r="E31" s="34">
        <f>IF(B31="","",VLOOKUP(B31,dagsoorttabel1,2,FALSE))</f>
        <v>0.6</v>
      </c>
      <c r="F31" s="34">
        <v>1</v>
      </c>
      <c r="G31" s="34">
        <f>IF(prodnorm49&gt;0,1/ROUND(prodnorm49,4),0)</f>
        <v>0</v>
      </c>
      <c r="H31" s="36">
        <f>ROUND(dagwerk49,4+2)</f>
        <v>0</v>
      </c>
      <c r="I31" s="37">
        <f>ROUND(uurtarief49,2)</f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264.5</v>
      </c>
      <c r="AB31" s="34">
        <v>0</v>
      </c>
      <c r="AC31" s="34">
        <v>0</v>
      </c>
      <c r="AD31" s="34">
        <v>0</v>
      </c>
    </row>
    <row r="32" spans="1:30" x14ac:dyDescent="0.2">
      <c r="A32" s="20" t="s">
        <v>163</v>
      </c>
      <c r="B32" s="20" t="s">
        <v>12</v>
      </c>
      <c r="C32" s="20" t="s">
        <v>236</v>
      </c>
      <c r="D32" s="20" t="s">
        <v>130</v>
      </c>
      <c r="E32" s="34">
        <f>IF(B32="","",VLOOKUP(B32,dagsoorttabel1,2,FALSE))</f>
        <v>1</v>
      </c>
      <c r="F32" s="34">
        <v>1</v>
      </c>
      <c r="G32" s="34">
        <f>IF(prodnorm50&gt;0,1/ROUND(prodnorm50,4),0)</f>
        <v>0</v>
      </c>
      <c r="H32" s="36">
        <f>ROUND(dagwerk50,4+2)</f>
        <v>0</v>
      </c>
      <c r="I32" s="37">
        <f>ROUND(uurtarief50,2)</f>
        <v>0</v>
      </c>
      <c r="J32" s="34">
        <v>0</v>
      </c>
      <c r="K32" s="34">
        <v>0</v>
      </c>
      <c r="L32" s="34">
        <v>1320.48</v>
      </c>
      <c r="M32" s="34">
        <v>625</v>
      </c>
      <c r="N32" s="34">
        <v>0</v>
      </c>
      <c r="O32" s="34">
        <v>1203.98</v>
      </c>
      <c r="P32" s="34">
        <v>120.72</v>
      </c>
      <c r="Q32" s="34">
        <v>0</v>
      </c>
      <c r="R32" s="34">
        <v>100.7</v>
      </c>
      <c r="S32" s="34">
        <v>0</v>
      </c>
      <c r="T32" s="34">
        <v>0</v>
      </c>
      <c r="U32" s="34">
        <v>424.69999999999993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46</v>
      </c>
      <c r="AD32" s="34">
        <v>0</v>
      </c>
    </row>
    <row r="33" spans="1:30" x14ac:dyDescent="0.2">
      <c r="A33" s="20" t="s">
        <v>164</v>
      </c>
      <c r="B33" s="20" t="s">
        <v>12</v>
      </c>
      <c r="C33" s="20" t="s">
        <v>236</v>
      </c>
      <c r="D33" s="20" t="s">
        <v>130</v>
      </c>
      <c r="E33" s="34">
        <f>IF(B33="","",VLOOKUP(B33,dagsoorttabel1,2,FALSE))</f>
        <v>1</v>
      </c>
      <c r="F33" s="34">
        <v>1</v>
      </c>
      <c r="G33" s="34">
        <f>IF(prodnorm51&gt;0,1/ROUND(prodnorm51,4),0)</f>
        <v>0</v>
      </c>
      <c r="H33" s="36">
        <f>ROUND(dagwerk51,4+2)</f>
        <v>0</v>
      </c>
      <c r="I33" s="37">
        <f>ROUND(uurtarief51,2)</f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57.6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</row>
    <row r="34" spans="1:30" x14ac:dyDescent="0.2">
      <c r="A34" s="20" t="s">
        <v>166</v>
      </c>
      <c r="B34" s="20" t="s">
        <v>12</v>
      </c>
      <c r="C34" s="20" t="s">
        <v>236</v>
      </c>
      <c r="D34" s="20" t="s">
        <v>130</v>
      </c>
      <c r="E34" s="34">
        <f>IF(B34="","",VLOOKUP(B34,dagsoorttabel1,2,FALSE))</f>
        <v>1</v>
      </c>
      <c r="F34" s="34">
        <v>1</v>
      </c>
      <c r="G34" s="34">
        <f>IF(prodnorm52&gt;0,1/ROUND(prodnorm52,4),0)</f>
        <v>0</v>
      </c>
      <c r="H34" s="36">
        <f>ROUND(dagwerk52,4+2)</f>
        <v>0</v>
      </c>
      <c r="I34" s="37">
        <f>ROUND(uurtarief52,2)</f>
        <v>0</v>
      </c>
      <c r="J34" s="34">
        <v>0</v>
      </c>
      <c r="K34" s="34">
        <v>0</v>
      </c>
      <c r="L34" s="34">
        <v>0</v>
      </c>
      <c r="M34" s="34">
        <v>12.25</v>
      </c>
      <c r="N34" s="34">
        <v>0</v>
      </c>
      <c r="O34" s="34">
        <v>10.39</v>
      </c>
      <c r="P34" s="34">
        <v>19.150000000000002</v>
      </c>
      <c r="Q34" s="34">
        <v>29.2</v>
      </c>
      <c r="R34" s="34">
        <v>51.09</v>
      </c>
      <c r="S34" s="34">
        <v>0</v>
      </c>
      <c r="T34" s="34">
        <v>0</v>
      </c>
      <c r="U34" s="34">
        <v>0</v>
      </c>
      <c r="V34" s="34">
        <v>0</v>
      </c>
      <c r="W34" s="34">
        <v>65.8</v>
      </c>
      <c r="X34" s="34">
        <v>0</v>
      </c>
      <c r="Y34" s="34">
        <v>24.5</v>
      </c>
      <c r="Z34" s="34">
        <v>0</v>
      </c>
      <c r="AA34" s="34">
        <v>30.7</v>
      </c>
      <c r="AB34" s="34">
        <v>0</v>
      </c>
      <c r="AC34" s="34">
        <v>0</v>
      </c>
      <c r="AD34" s="34">
        <v>0</v>
      </c>
    </row>
    <row r="35" spans="1:30" x14ac:dyDescent="0.2">
      <c r="A35" s="20" t="s">
        <v>168</v>
      </c>
      <c r="B35" s="20" t="s">
        <v>12</v>
      </c>
      <c r="C35" s="20" t="s">
        <v>236</v>
      </c>
      <c r="D35" s="20" t="s">
        <v>130</v>
      </c>
      <c r="E35" s="34">
        <f>IF(B35="","",VLOOKUP(B35,dagsoorttabel1,2,FALSE))</f>
        <v>1</v>
      </c>
      <c r="F35" s="34">
        <v>1</v>
      </c>
      <c r="G35" s="34">
        <f>IF(prodnorm53&gt;0,1/ROUND(prodnorm53,4),0)</f>
        <v>0</v>
      </c>
      <c r="H35" s="36">
        <f>ROUND(dagwerk53,4+2)</f>
        <v>0</v>
      </c>
      <c r="I35" s="37">
        <f>ROUND(uurtarief53,2)</f>
        <v>0</v>
      </c>
      <c r="J35" s="34">
        <v>159.19000000000003</v>
      </c>
      <c r="K35" s="34">
        <v>109.86000000000001</v>
      </c>
      <c r="L35" s="34">
        <v>223.39999999999998</v>
      </c>
      <c r="M35" s="34">
        <v>257.8</v>
      </c>
      <c r="N35" s="34">
        <v>184.35000000000002</v>
      </c>
      <c r="O35" s="34">
        <v>196.32</v>
      </c>
      <c r="P35" s="34">
        <v>374.24</v>
      </c>
      <c r="Q35" s="34">
        <v>489.7</v>
      </c>
      <c r="R35" s="34">
        <v>99.84</v>
      </c>
      <c r="S35" s="34">
        <v>0</v>
      </c>
      <c r="T35" s="34">
        <v>0</v>
      </c>
      <c r="U35" s="34">
        <v>71.3</v>
      </c>
      <c r="V35" s="34">
        <v>32.799999999999997</v>
      </c>
      <c r="W35" s="34">
        <v>63.599999999999994</v>
      </c>
      <c r="X35" s="34">
        <v>52.599999999999994</v>
      </c>
      <c r="Y35" s="34">
        <v>77.55</v>
      </c>
      <c r="Z35" s="34">
        <v>11.11</v>
      </c>
      <c r="AA35" s="34">
        <v>102.81</v>
      </c>
      <c r="AB35" s="34">
        <v>48.72</v>
      </c>
      <c r="AC35" s="34">
        <v>10.700000000000001</v>
      </c>
      <c r="AD35" s="34">
        <v>161.19999999999999</v>
      </c>
    </row>
    <row r="36" spans="1:30" x14ac:dyDescent="0.2">
      <c r="A36" s="20" t="s">
        <v>168</v>
      </c>
      <c r="B36" s="20" t="s">
        <v>10</v>
      </c>
      <c r="C36" s="20" t="s">
        <v>236</v>
      </c>
      <c r="D36" s="20" t="s">
        <v>130</v>
      </c>
      <c r="E36" s="34">
        <f>IF(B36="","",VLOOKUP(B36,dagsoorttabel1,2,FALSE))</f>
        <v>1.1428571428571428</v>
      </c>
      <c r="F36" s="34">
        <v>1</v>
      </c>
      <c r="G36" s="34">
        <f>IF(prodnorm54&gt;0,1/ROUND(prodnorm54,4),0)</f>
        <v>0</v>
      </c>
      <c r="H36" s="36">
        <f>ROUND(dagwerk54,4+2)</f>
        <v>0</v>
      </c>
      <c r="I36" s="37">
        <f>ROUND(uurtarief54,2)</f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24.03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</row>
    <row r="37" spans="1:30" x14ac:dyDescent="0.2">
      <c r="A37" s="20" t="s">
        <v>170</v>
      </c>
      <c r="B37" s="20" t="s">
        <v>12</v>
      </c>
      <c r="C37" s="20" t="s">
        <v>236</v>
      </c>
      <c r="D37" s="20" t="s">
        <v>130</v>
      </c>
      <c r="E37" s="34">
        <f>IF(B37="","",VLOOKUP(B37,dagsoorttabel1,2,FALSE))</f>
        <v>1</v>
      </c>
      <c r="F37" s="34">
        <v>1</v>
      </c>
      <c r="G37" s="34">
        <f>IF(prodnorm55&gt;0,1/ROUND(prodnorm55,4),0)</f>
        <v>0</v>
      </c>
      <c r="H37" s="36">
        <f>ROUND(dagwerk55,4+2)</f>
        <v>0</v>
      </c>
      <c r="I37" s="37">
        <f>ROUND(uurtarief55,2)</f>
        <v>0</v>
      </c>
      <c r="J37" s="34">
        <v>0</v>
      </c>
      <c r="K37" s="34">
        <v>0</v>
      </c>
      <c r="L37" s="34">
        <v>104.04</v>
      </c>
      <c r="M37" s="34">
        <v>82.8</v>
      </c>
      <c r="N37" s="34">
        <v>184.35000000000002</v>
      </c>
      <c r="O37" s="34">
        <v>36.1</v>
      </c>
      <c r="P37" s="34">
        <v>0</v>
      </c>
      <c r="Q37" s="34">
        <v>489.7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59.900000000000006</v>
      </c>
      <c r="X37" s="34">
        <v>52.599999999999994</v>
      </c>
      <c r="Y37" s="34">
        <v>0</v>
      </c>
      <c r="Z37" s="34">
        <v>0</v>
      </c>
      <c r="AA37" s="34">
        <v>83.8</v>
      </c>
      <c r="AB37" s="34">
        <v>0</v>
      </c>
      <c r="AC37" s="34">
        <v>0</v>
      </c>
      <c r="AD37" s="34">
        <v>0</v>
      </c>
    </row>
    <row r="38" spans="1:30" x14ac:dyDescent="0.2">
      <c r="A38" s="20" t="s">
        <v>172</v>
      </c>
      <c r="B38" s="20" t="s">
        <v>24</v>
      </c>
      <c r="C38" s="20" t="s">
        <v>236</v>
      </c>
      <c r="D38" s="20" t="s">
        <v>130</v>
      </c>
      <c r="E38" s="34">
        <f>IF(B38="","",VLOOKUP(B38,dagsoorttabel1,2,FALSE))</f>
        <v>0.2</v>
      </c>
      <c r="F38" s="34">
        <v>1</v>
      </c>
      <c r="G38" s="34">
        <f>IF(prodnorm56&gt;0,1/ROUND(prodnorm56,4),0)</f>
        <v>0</v>
      </c>
      <c r="H38" s="36">
        <f>ROUND(dagwerk56,4+2)</f>
        <v>0</v>
      </c>
      <c r="I38" s="37">
        <f>ROUND(uurtarief56,2)</f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12</v>
      </c>
      <c r="AB38" s="34">
        <v>0</v>
      </c>
      <c r="AC38" s="34">
        <v>0</v>
      </c>
      <c r="AD38" s="34">
        <v>0</v>
      </c>
    </row>
    <row r="39" spans="1:30" x14ac:dyDescent="0.2">
      <c r="A39" s="20" t="s">
        <v>174</v>
      </c>
      <c r="B39" s="20" t="s">
        <v>12</v>
      </c>
      <c r="C39" s="20" t="s">
        <v>236</v>
      </c>
      <c r="D39" s="20" t="s">
        <v>130</v>
      </c>
      <c r="E39" s="34">
        <f>IF(B39="","",VLOOKUP(B39,dagsoorttabel1,2,FALSE))</f>
        <v>1</v>
      </c>
      <c r="F39" s="34">
        <v>1</v>
      </c>
      <c r="G39" s="34">
        <f>IF(prodnorm57&gt;0,1/ROUND(prodnorm57,4),0)</f>
        <v>0</v>
      </c>
      <c r="H39" s="36">
        <f>ROUND(dagwerk57,4+2)</f>
        <v>0</v>
      </c>
      <c r="I39" s="37">
        <f>ROUND(uurtarief57,2)</f>
        <v>0</v>
      </c>
      <c r="J39" s="34">
        <v>143.28</v>
      </c>
      <c r="K39" s="34">
        <v>150.02000000000001</v>
      </c>
      <c r="L39" s="34">
        <v>173.89</v>
      </c>
      <c r="M39" s="34">
        <v>79.12</v>
      </c>
      <c r="N39" s="34">
        <v>221.42000000000002</v>
      </c>
      <c r="O39" s="34">
        <v>196.67000000000002</v>
      </c>
      <c r="P39" s="34">
        <v>314.14</v>
      </c>
      <c r="Q39" s="34">
        <v>406.93</v>
      </c>
      <c r="R39" s="34">
        <v>39.200000000000003</v>
      </c>
      <c r="S39" s="34">
        <v>0</v>
      </c>
      <c r="T39" s="34">
        <v>0</v>
      </c>
      <c r="U39" s="34">
        <v>451.49999999999994</v>
      </c>
      <c r="V39" s="34">
        <v>0</v>
      </c>
      <c r="W39" s="34">
        <v>145.30000000000001</v>
      </c>
      <c r="X39" s="34">
        <v>17.61</v>
      </c>
      <c r="Y39" s="34">
        <v>192.29999999999998</v>
      </c>
      <c r="Z39" s="34">
        <v>0</v>
      </c>
      <c r="AA39" s="34">
        <v>53.3</v>
      </c>
      <c r="AB39" s="34">
        <v>0</v>
      </c>
      <c r="AC39" s="34">
        <v>0</v>
      </c>
      <c r="AD39" s="34">
        <v>148.19999999999999</v>
      </c>
    </row>
    <row r="40" spans="1:30" x14ac:dyDescent="0.2">
      <c r="A40" s="20" t="s">
        <v>174</v>
      </c>
      <c r="B40" s="20" t="s">
        <v>10</v>
      </c>
      <c r="C40" s="20" t="s">
        <v>236</v>
      </c>
      <c r="D40" s="20" t="s">
        <v>130</v>
      </c>
      <c r="E40" s="34">
        <f>IF(B40="","",VLOOKUP(B40,dagsoorttabel1,2,FALSE))</f>
        <v>1.1428571428571428</v>
      </c>
      <c r="F40" s="34">
        <v>1</v>
      </c>
      <c r="G40" s="34">
        <f>IF(prodnorm58&gt;0,1/ROUND(prodnorm58,4),0)</f>
        <v>0</v>
      </c>
      <c r="H40" s="36">
        <f>ROUND(dagwerk58,4+2)</f>
        <v>0</v>
      </c>
      <c r="I40" s="37">
        <f>ROUND(uurtarief58,2)</f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8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</row>
    <row r="41" spans="1:30" x14ac:dyDescent="0.2">
      <c r="A41" s="20" t="s">
        <v>175</v>
      </c>
      <c r="B41" s="20" t="s">
        <v>24</v>
      </c>
      <c r="C41" s="20" t="s">
        <v>236</v>
      </c>
      <c r="D41" s="20" t="s">
        <v>130</v>
      </c>
      <c r="E41" s="34">
        <f>IF(B41="","",VLOOKUP(B41,dagsoorttabel1,2,FALSE))</f>
        <v>0.2</v>
      </c>
      <c r="F41" s="34">
        <v>1</v>
      </c>
      <c r="G41" s="34">
        <f>IF(prodnorm59&gt;0,1/ROUND(prodnorm59,4),0)</f>
        <v>0</v>
      </c>
      <c r="H41" s="36">
        <f>ROUND(dagwerk59,4+2)</f>
        <v>0</v>
      </c>
      <c r="I41" s="37">
        <f>ROUND(uurtarief59,2)</f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138.72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</row>
    <row r="42" spans="1:30" x14ac:dyDescent="0.2">
      <c r="A42" s="20" t="s">
        <v>177</v>
      </c>
      <c r="B42" s="20" t="s">
        <v>12</v>
      </c>
      <c r="C42" s="20" t="s">
        <v>236</v>
      </c>
      <c r="D42" s="20" t="s">
        <v>130</v>
      </c>
      <c r="E42" s="34">
        <f>IF(B42="","",VLOOKUP(B42,dagsoorttabel1,2,FALSE))</f>
        <v>1</v>
      </c>
      <c r="F42" s="34">
        <v>1</v>
      </c>
      <c r="G42" s="34">
        <f>IF(prodnorm60&gt;0,1/ROUND(prodnorm60,4),0)</f>
        <v>0</v>
      </c>
      <c r="H42" s="36">
        <f>ROUND(dagwerk60,4+2)</f>
        <v>0</v>
      </c>
      <c r="I42" s="37">
        <f>ROUND(uurtarief60,2)</f>
        <v>0</v>
      </c>
      <c r="J42" s="34">
        <v>855.87999999999988</v>
      </c>
      <c r="K42" s="34">
        <v>709.35</v>
      </c>
      <c r="L42" s="34">
        <v>983.59</v>
      </c>
      <c r="M42" s="34">
        <v>974.2</v>
      </c>
      <c r="N42" s="34">
        <v>1054.1600000000001</v>
      </c>
      <c r="O42" s="34">
        <v>2330.66</v>
      </c>
      <c r="P42" s="34">
        <v>1028.76</v>
      </c>
      <c r="Q42" s="34">
        <v>3173.6</v>
      </c>
      <c r="R42" s="34">
        <v>641.82999999999993</v>
      </c>
      <c r="S42" s="34">
        <v>0</v>
      </c>
      <c r="T42" s="34">
        <v>0</v>
      </c>
      <c r="U42" s="34">
        <v>430.2</v>
      </c>
      <c r="V42" s="34">
        <v>77.900000000000006</v>
      </c>
      <c r="W42" s="34">
        <v>612.80000000000007</v>
      </c>
      <c r="X42" s="34">
        <v>407.06999999999994</v>
      </c>
      <c r="Y42" s="34">
        <v>900.22</v>
      </c>
      <c r="Z42" s="34">
        <v>154.72</v>
      </c>
      <c r="AA42" s="34">
        <v>663.17</v>
      </c>
      <c r="AB42" s="34">
        <v>268.91999999999996</v>
      </c>
      <c r="AC42" s="34">
        <v>162.74999999999997</v>
      </c>
      <c r="AD42" s="34">
        <v>1878.6</v>
      </c>
    </row>
    <row r="43" spans="1:30" x14ac:dyDescent="0.2">
      <c r="A43" s="20" t="s">
        <v>177</v>
      </c>
      <c r="B43" s="20" t="s">
        <v>10</v>
      </c>
      <c r="C43" s="20" t="s">
        <v>236</v>
      </c>
      <c r="D43" s="20" t="s">
        <v>130</v>
      </c>
      <c r="E43" s="34">
        <f>IF(B43="","",VLOOKUP(B43,dagsoorttabel1,2,FALSE))</f>
        <v>1.1428571428571428</v>
      </c>
      <c r="F43" s="34">
        <v>1</v>
      </c>
      <c r="G43" s="34">
        <f>IF(prodnorm61&gt;0,1/ROUND(prodnorm61,4),0)</f>
        <v>0</v>
      </c>
      <c r="H43" s="36">
        <f>ROUND(dagwerk61,4+2)</f>
        <v>0</v>
      </c>
      <c r="I43" s="37">
        <f>ROUND(uurtarief61,2)</f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84.52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</row>
    <row r="44" spans="1:30" x14ac:dyDescent="0.2">
      <c r="A44" s="20" t="s">
        <v>177</v>
      </c>
      <c r="B44" s="20" t="s">
        <v>9</v>
      </c>
      <c r="C44" s="20" t="s">
        <v>236</v>
      </c>
      <c r="D44" s="20" t="s">
        <v>130</v>
      </c>
      <c r="E44" s="34">
        <f>IF(B44="","",VLOOKUP(B44,dagsoorttabel1,2,FALSE))</f>
        <v>1.2142857142857142</v>
      </c>
      <c r="F44" s="34">
        <v>1</v>
      </c>
      <c r="G44" s="34">
        <f>IF(prodnorm62&gt;0,1/ROUND(prodnorm62,4),0)</f>
        <v>0</v>
      </c>
      <c r="H44" s="36">
        <f>ROUND(dagwerk62,4+2)</f>
        <v>0</v>
      </c>
      <c r="I44" s="37">
        <f>ROUND(uurtarief62,2)</f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268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</row>
    <row r="45" spans="1:30" x14ac:dyDescent="0.2">
      <c r="A45" s="20" t="s">
        <v>178</v>
      </c>
      <c r="B45" s="20" t="s">
        <v>12</v>
      </c>
      <c r="C45" s="20" t="s">
        <v>236</v>
      </c>
      <c r="D45" s="20" t="s">
        <v>179</v>
      </c>
      <c r="E45" s="34">
        <f>IF(B45="","",VLOOKUP(B45,dagsoorttabel1,2,FALSE))</f>
        <v>1</v>
      </c>
      <c r="F45" s="34">
        <v>1</v>
      </c>
      <c r="G45" s="34">
        <v>1</v>
      </c>
      <c r="H45" s="36">
        <f>ROUND(dagwerk5,4+2)</f>
        <v>0</v>
      </c>
      <c r="I45" s="37">
        <f>ROUND(uurtarief5,2)</f>
        <v>0</v>
      </c>
      <c r="J45" s="34">
        <v>0</v>
      </c>
      <c r="K45" s="34">
        <v>0</v>
      </c>
      <c r="L45" s="34">
        <v>0</v>
      </c>
      <c r="M45" s="34">
        <v>0.33000000000000007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</row>
    <row r="46" spans="1:30" x14ac:dyDescent="0.2">
      <c r="A46" s="20" t="s">
        <v>182</v>
      </c>
      <c r="B46" s="20" t="s">
        <v>29</v>
      </c>
      <c r="C46" s="20" t="s">
        <v>236</v>
      </c>
      <c r="D46" s="20" t="s">
        <v>179</v>
      </c>
      <c r="E46" s="34">
        <f>IF(B46="","",VLOOKUP(B46,dagsoorttabel1,2,FALSE))</f>
        <v>1.9047619047619049E-2</v>
      </c>
      <c r="F46" s="34">
        <v>1</v>
      </c>
      <c r="G46" s="34">
        <f>ROUND(prodnorm6,4)/60</f>
        <v>0</v>
      </c>
      <c r="H46" s="36">
        <f>ROUND(dagwerk6,4+2)</f>
        <v>0</v>
      </c>
      <c r="I46" s="37">
        <f>ROUND(uurtarief6,2)</f>
        <v>0</v>
      </c>
      <c r="J46" s="34">
        <v>2</v>
      </c>
      <c r="K46" s="34">
        <v>3</v>
      </c>
      <c r="L46" s="34">
        <v>1</v>
      </c>
      <c r="M46" s="34">
        <v>2</v>
      </c>
      <c r="N46" s="34">
        <v>2</v>
      </c>
      <c r="O46" s="34">
        <v>5</v>
      </c>
      <c r="P46" s="34">
        <v>2</v>
      </c>
      <c r="Q46" s="34">
        <v>21</v>
      </c>
      <c r="R46" s="34">
        <v>0</v>
      </c>
      <c r="S46" s="34">
        <v>1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</row>
    <row r="47" spans="1:30" x14ac:dyDescent="0.2">
      <c r="A47" s="20" t="s">
        <v>185</v>
      </c>
      <c r="B47" s="20" t="s">
        <v>29</v>
      </c>
      <c r="C47" s="20" t="s">
        <v>236</v>
      </c>
      <c r="D47" s="20" t="s">
        <v>179</v>
      </c>
      <c r="E47" s="34">
        <f>IF(B47="","",VLOOKUP(B47,dagsoorttabel1,2,FALSE))</f>
        <v>1.9047619047619049E-2</v>
      </c>
      <c r="F47" s="34">
        <v>1</v>
      </c>
      <c r="G47" s="34">
        <f>ROUND(prodnorm7,4)/60</f>
        <v>0</v>
      </c>
      <c r="H47" s="36">
        <f>ROUND(dagwerk7,4+2)</f>
        <v>0</v>
      </c>
      <c r="I47" s="37">
        <f>ROUND(uurtarief7,2)</f>
        <v>0</v>
      </c>
      <c r="J47" s="34">
        <v>2</v>
      </c>
      <c r="K47" s="34">
        <v>3</v>
      </c>
      <c r="L47" s="34">
        <v>2</v>
      </c>
      <c r="M47" s="34">
        <v>4</v>
      </c>
      <c r="N47" s="34">
        <v>4</v>
      </c>
      <c r="O47" s="34">
        <v>5</v>
      </c>
      <c r="P47" s="34">
        <v>2</v>
      </c>
      <c r="Q47" s="34">
        <v>12</v>
      </c>
      <c r="R47" s="34">
        <v>0</v>
      </c>
      <c r="S47" s="34">
        <v>1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</row>
    <row r="48" spans="1:30" x14ac:dyDescent="0.2">
      <c r="A48" s="20" t="s">
        <v>187</v>
      </c>
      <c r="B48" s="20" t="s">
        <v>29</v>
      </c>
      <c r="C48" s="20" t="s">
        <v>236</v>
      </c>
      <c r="D48" s="20" t="s">
        <v>179</v>
      </c>
      <c r="E48" s="34">
        <f>IF(B48="","",VLOOKUP(B48,dagsoorttabel1,2,FALSE))</f>
        <v>1.9047619047619049E-2</v>
      </c>
      <c r="F48" s="34">
        <v>1</v>
      </c>
      <c r="G48" s="34">
        <f>ROUND(prodnorm8,4)/60</f>
        <v>0</v>
      </c>
      <c r="H48" s="36">
        <f>ROUND(dagwerk8,4+2)</f>
        <v>0</v>
      </c>
      <c r="I48" s="37">
        <f>ROUND(uurtarief8,2)</f>
        <v>0</v>
      </c>
      <c r="J48" s="34">
        <v>2</v>
      </c>
      <c r="K48" s="34">
        <v>2</v>
      </c>
      <c r="L48" s="34">
        <v>3</v>
      </c>
      <c r="M48" s="34">
        <v>1</v>
      </c>
      <c r="N48" s="34">
        <v>1</v>
      </c>
      <c r="O48" s="34">
        <v>4</v>
      </c>
      <c r="P48" s="34">
        <v>2</v>
      </c>
      <c r="Q48" s="34">
        <v>8</v>
      </c>
      <c r="R48" s="34">
        <v>0</v>
      </c>
      <c r="S48" s="34">
        <v>1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</row>
    <row r="49" spans="1:30" x14ac:dyDescent="0.2">
      <c r="A49" s="20" t="s">
        <v>189</v>
      </c>
      <c r="B49" s="20" t="s">
        <v>29</v>
      </c>
      <c r="C49" s="20" t="s">
        <v>236</v>
      </c>
      <c r="D49" s="20" t="s">
        <v>179</v>
      </c>
      <c r="E49" s="34">
        <f>IF(B49="","",VLOOKUP(B49,dagsoorttabel1,2,FALSE))</f>
        <v>1.9047619047619049E-2</v>
      </c>
      <c r="F49" s="34">
        <v>1</v>
      </c>
      <c r="G49" s="34">
        <f>ROUND(prodnorm9,4)/60</f>
        <v>0</v>
      </c>
      <c r="H49" s="36">
        <f>ROUND(dagwerk9,4+2)</f>
        <v>0</v>
      </c>
      <c r="I49" s="37">
        <f>ROUND(uurtarief9,2)</f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9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</row>
    <row r="50" spans="1:30" x14ac:dyDescent="0.2">
      <c r="A50" s="20" t="s">
        <v>191</v>
      </c>
      <c r="B50" s="20" t="s">
        <v>29</v>
      </c>
      <c r="C50" s="20" t="s">
        <v>236</v>
      </c>
      <c r="D50" s="20" t="s">
        <v>179</v>
      </c>
      <c r="E50" s="34">
        <f>IF(B50="","",VLOOKUP(B50,dagsoorttabel1,2,FALSE))</f>
        <v>1.9047619047619049E-2</v>
      </c>
      <c r="F50" s="34">
        <v>1</v>
      </c>
      <c r="G50" s="34">
        <f>ROUND(prodnorm10,4)/60</f>
        <v>0</v>
      </c>
      <c r="H50" s="36">
        <f>ROUND(dagwerk10,4+2)</f>
        <v>0</v>
      </c>
      <c r="I50" s="37">
        <f>ROUND(uurtarief10,2)</f>
        <v>0</v>
      </c>
      <c r="J50" s="34">
        <v>0</v>
      </c>
      <c r="K50" s="34">
        <v>0</v>
      </c>
      <c r="L50" s="34">
        <v>2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</row>
    <row r="51" spans="1:30" x14ac:dyDescent="0.2">
      <c r="A51" s="20" t="s">
        <v>193</v>
      </c>
      <c r="B51" s="20" t="s">
        <v>12</v>
      </c>
      <c r="C51" s="20" t="s">
        <v>236</v>
      </c>
      <c r="D51" s="20" t="s">
        <v>179</v>
      </c>
      <c r="E51" s="34">
        <f>IF(B51="","",VLOOKUP(B51,dagsoorttabel1,2,FALSE))</f>
        <v>1</v>
      </c>
      <c r="F51" s="34">
        <v>1</v>
      </c>
      <c r="G51" s="34">
        <f>IF(prodnorm11&gt;0,1/ROUND(prodnorm11,4),0)</f>
        <v>0</v>
      </c>
      <c r="H51" s="36">
        <f>ROUND(dagwerk11,4+2)</f>
        <v>0</v>
      </c>
      <c r="I51" s="37">
        <f>ROUND(uurtarief11,2)</f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300.7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</row>
    <row r="52" spans="1:30" x14ac:dyDescent="0.2">
      <c r="A52" s="20" t="s">
        <v>193</v>
      </c>
      <c r="B52" s="20" t="s">
        <v>22</v>
      </c>
      <c r="C52" s="20" t="s">
        <v>236</v>
      </c>
      <c r="D52" s="20" t="s">
        <v>179</v>
      </c>
      <c r="E52" s="34">
        <f>IF(B52="","",VLOOKUP(B52,dagsoorttabel1,2,FALSE))</f>
        <v>0.38095238095238093</v>
      </c>
      <c r="F52" s="34">
        <v>1</v>
      </c>
      <c r="G52" s="34">
        <f>IF(prodnorm12&gt;0,1/ROUND(prodnorm12,4),0)</f>
        <v>0</v>
      </c>
      <c r="H52" s="36">
        <f>ROUND(dagwerk12,4+2)</f>
        <v>0</v>
      </c>
      <c r="I52" s="37">
        <f>ROUND(uurtarief12,2)</f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1400.9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</row>
    <row r="53" spans="1:30" x14ac:dyDescent="0.2">
      <c r="A53" s="20" t="s">
        <v>195</v>
      </c>
      <c r="B53" s="20" t="s">
        <v>13</v>
      </c>
      <c r="C53" s="20" t="s">
        <v>236</v>
      </c>
      <c r="D53" s="20" t="s">
        <v>179</v>
      </c>
      <c r="E53" s="34">
        <f>IF(B53="","",VLOOKUP(B53,dagsoorttabel1,2,FALSE))</f>
        <v>0.95238095238095233</v>
      </c>
      <c r="F53" s="34">
        <v>1</v>
      </c>
      <c r="G53" s="34">
        <v>1</v>
      </c>
      <c r="H53" s="36">
        <f>ROUND(dagwerk13,4+2)</f>
        <v>0</v>
      </c>
      <c r="I53" s="37">
        <f>ROUND(uurtarief13,2)</f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4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</row>
    <row r="54" spans="1:30" x14ac:dyDescent="0.2">
      <c r="A54" s="20" t="s">
        <v>197</v>
      </c>
      <c r="B54" s="20" t="s">
        <v>27</v>
      </c>
      <c r="C54" s="20" t="s">
        <v>236</v>
      </c>
      <c r="D54" s="20" t="s">
        <v>179</v>
      </c>
      <c r="E54" s="34">
        <f>IF(B54="","",VLOOKUP(B54,dagsoorttabel1,2,FALSE))</f>
        <v>4.7619047619047616E-2</v>
      </c>
      <c r="F54" s="34">
        <v>1</v>
      </c>
      <c r="G54" s="34">
        <f>IF(prodnorm14&gt;0,1/ROUND(prodnorm14,4),0)</f>
        <v>0</v>
      </c>
      <c r="H54" s="36">
        <f>ROUND(dagwerk14,4+2)</f>
        <v>0</v>
      </c>
      <c r="I54" s="37">
        <f>ROUND(uurtarief14,2)</f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1146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</row>
    <row r="55" spans="1:30" x14ac:dyDescent="0.2">
      <c r="A55" s="20" t="s">
        <v>197</v>
      </c>
      <c r="B55" s="20" t="s">
        <v>24</v>
      </c>
      <c r="C55" s="20" t="s">
        <v>236</v>
      </c>
      <c r="D55" s="20" t="s">
        <v>179</v>
      </c>
      <c r="E55" s="34">
        <f>IF(B55="","",VLOOKUP(B55,dagsoorttabel1,2,FALSE))</f>
        <v>0.2</v>
      </c>
      <c r="F55" s="34">
        <v>1</v>
      </c>
      <c r="G55" s="34">
        <f>IF(prodnorm15&gt;0,1/ROUND(prodnorm15,4),0)</f>
        <v>0</v>
      </c>
      <c r="H55" s="36">
        <f>ROUND(dagwerk15,4+2)</f>
        <v>0</v>
      </c>
      <c r="I55" s="37">
        <f>ROUND(uurtarief15,2)</f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628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</row>
    <row r="56" spans="1:30" x14ac:dyDescent="0.2">
      <c r="A56" s="20" t="s">
        <v>197</v>
      </c>
      <c r="B56" s="20" t="s">
        <v>19</v>
      </c>
      <c r="C56" s="20" t="s">
        <v>236</v>
      </c>
      <c r="D56" s="20" t="s">
        <v>179</v>
      </c>
      <c r="E56" s="34">
        <f>IF(B56="","",VLOOKUP(B56,dagsoorttabel1,2,FALSE))</f>
        <v>0.45714285714285713</v>
      </c>
      <c r="F56" s="34">
        <v>1</v>
      </c>
      <c r="G56" s="34">
        <f>IF(prodnorm16&gt;0,1/ROUND(prodnorm16,4),0)</f>
        <v>0</v>
      </c>
      <c r="H56" s="36">
        <f>ROUND(dagwerk16,4+2)</f>
        <v>0</v>
      </c>
      <c r="I56" s="37">
        <f>ROUND(uurtarief16,2)</f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1106.8600000000001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</row>
    <row r="57" spans="1:30" x14ac:dyDescent="0.2">
      <c r="A57" s="20" t="s">
        <v>199</v>
      </c>
      <c r="B57" s="20" t="s">
        <v>29</v>
      </c>
      <c r="C57" s="20" t="s">
        <v>236</v>
      </c>
      <c r="D57" s="20" t="s">
        <v>179</v>
      </c>
      <c r="E57" s="34">
        <f>IF(B57="","",VLOOKUP(B57,dagsoorttabel1,2,FALSE))</f>
        <v>1.9047619047619049E-2</v>
      </c>
      <c r="F57" s="34">
        <v>1</v>
      </c>
      <c r="G57" s="34">
        <f>IF(prodnorm17&gt;0,1/ROUND(prodnorm17,4),0)</f>
        <v>0</v>
      </c>
      <c r="H57" s="36">
        <f>ROUND(dagwerk17,4+2)</f>
        <v>0</v>
      </c>
      <c r="I57" s="37">
        <f>ROUND(uurtarief17,2)</f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632.77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</row>
    <row r="58" spans="1:30" x14ac:dyDescent="0.2">
      <c r="A58" s="20" t="s">
        <v>201</v>
      </c>
      <c r="B58" s="20" t="s">
        <v>24</v>
      </c>
      <c r="C58" s="20" t="s">
        <v>236</v>
      </c>
      <c r="D58" s="20" t="s">
        <v>179</v>
      </c>
      <c r="E58" s="34">
        <f>IF(B58="","",VLOOKUP(B58,dagsoorttabel1,2,FALSE))</f>
        <v>0.2</v>
      </c>
      <c r="F58" s="34">
        <v>1</v>
      </c>
      <c r="G58" s="34">
        <f>IF(prodnorm19&gt;0,1/ROUND(prodnorm19,4),0)</f>
        <v>0</v>
      </c>
      <c r="H58" s="36">
        <f>ROUND(dagwerk19,4+2)</f>
        <v>0</v>
      </c>
      <c r="I58" s="37">
        <f>ROUND(uurtarief19,2)</f>
        <v>0</v>
      </c>
      <c r="J58" s="34">
        <v>281.39999999999998</v>
      </c>
      <c r="K58" s="34">
        <v>0</v>
      </c>
      <c r="L58" s="34">
        <v>1535.26</v>
      </c>
      <c r="M58" s="34">
        <v>0</v>
      </c>
      <c r="N58" s="34">
        <v>0</v>
      </c>
      <c r="O58" s="34">
        <v>0</v>
      </c>
      <c r="P58" s="34">
        <v>0</v>
      </c>
      <c r="Q58" s="34">
        <v>1451.66</v>
      </c>
      <c r="R58" s="34">
        <v>110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</row>
    <row r="59" spans="1:30" x14ac:dyDescent="0.2">
      <c r="A59" s="20" t="s">
        <v>203</v>
      </c>
      <c r="B59" s="20" t="s">
        <v>12</v>
      </c>
      <c r="C59" s="20" t="s">
        <v>236</v>
      </c>
      <c r="D59" s="20" t="s">
        <v>179</v>
      </c>
      <c r="E59" s="34">
        <f>IF(B59="","",VLOOKUP(B59,dagsoorttabel1,2,FALSE))</f>
        <v>1</v>
      </c>
      <c r="F59" s="34">
        <v>1</v>
      </c>
      <c r="G59" s="34">
        <f>IF(prodnorm20&gt;0,1/ROUND(prodnorm20,4),0)</f>
        <v>0</v>
      </c>
      <c r="H59" s="36">
        <f>ROUND(dagwerk20,4+2)</f>
        <v>0</v>
      </c>
      <c r="I59" s="37">
        <f>ROUND(uurtarief20,2)</f>
        <v>0</v>
      </c>
      <c r="J59" s="34">
        <v>2520.3400000000006</v>
      </c>
      <c r="K59" s="34">
        <v>1741.9100000000003</v>
      </c>
      <c r="L59" s="34">
        <v>1235.6800000000003</v>
      </c>
      <c r="M59" s="34">
        <v>3947.3700000000003</v>
      </c>
      <c r="N59" s="34">
        <v>3943.2200000000003</v>
      </c>
      <c r="O59" s="34">
        <v>5136.12</v>
      </c>
      <c r="P59" s="34">
        <v>2339.0200000000004</v>
      </c>
      <c r="Q59" s="34">
        <v>9999.69</v>
      </c>
      <c r="R59" s="34">
        <v>1652.0699999999997</v>
      </c>
      <c r="S59" s="34">
        <v>0</v>
      </c>
      <c r="T59" s="34">
        <v>0</v>
      </c>
      <c r="U59" s="34">
        <v>2865.7999999999997</v>
      </c>
      <c r="V59" s="34">
        <v>266.70000000000005</v>
      </c>
      <c r="W59" s="34">
        <v>2583.6000000000004</v>
      </c>
      <c r="X59" s="34">
        <v>1158.74</v>
      </c>
      <c r="Y59" s="34">
        <v>2664.73</v>
      </c>
      <c r="Z59" s="34">
        <v>14.75</v>
      </c>
      <c r="AA59" s="34">
        <v>1917.44</v>
      </c>
      <c r="AB59" s="34">
        <v>748.86</v>
      </c>
      <c r="AC59" s="34">
        <v>232.88</v>
      </c>
      <c r="AD59" s="34">
        <v>1757.9</v>
      </c>
    </row>
    <row r="60" spans="1:30" x14ac:dyDescent="0.2">
      <c r="A60" s="20" t="s">
        <v>203</v>
      </c>
      <c r="B60" s="20" t="s">
        <v>10</v>
      </c>
      <c r="C60" s="20" t="s">
        <v>236</v>
      </c>
      <c r="D60" s="20" t="s">
        <v>179</v>
      </c>
      <c r="E60" s="34">
        <f>IF(B60="","",VLOOKUP(B60,dagsoorttabel1,2,FALSE))</f>
        <v>1.1428571428571428</v>
      </c>
      <c r="F60" s="34">
        <v>1</v>
      </c>
      <c r="G60" s="34">
        <f>IF(prodnorm21&gt;0,1/ROUND(prodnorm21,4),0)</f>
        <v>0</v>
      </c>
      <c r="H60" s="36">
        <f>ROUND(dagwerk21,4+2)</f>
        <v>0</v>
      </c>
      <c r="I60" s="37">
        <f>ROUND(uurtarief21,2)</f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334.53999999999996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</row>
    <row r="61" spans="1:30" x14ac:dyDescent="0.2">
      <c r="A61" s="25" t="s">
        <v>203</v>
      </c>
      <c r="B61" s="25" t="s">
        <v>9</v>
      </c>
      <c r="C61" s="25" t="s">
        <v>236</v>
      </c>
      <c r="D61" s="25" t="s">
        <v>179</v>
      </c>
      <c r="E61" s="39">
        <f>IF(B61="","",VLOOKUP(B61,dagsoorttabel1,2,FALSE))</f>
        <v>1.2142857142857142</v>
      </c>
      <c r="F61" s="39">
        <v>1</v>
      </c>
      <c r="G61" s="39">
        <f>IF(prodnorm22&gt;0,1/ROUND(prodnorm22,4),0)</f>
        <v>0</v>
      </c>
      <c r="H61" s="52">
        <f>ROUND(dagwerk22,4+2)</f>
        <v>0</v>
      </c>
      <c r="I61" s="41">
        <f>ROUND(uurtarief22,2)</f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1073.4000000000001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</row>
    <row r="62" spans="1:30" x14ac:dyDescent="0.2">
      <c r="A62" s="42" t="s">
        <v>205</v>
      </c>
      <c r="B62" s="43"/>
      <c r="C62" s="43"/>
      <c r="D62" s="43"/>
      <c r="E62" s="43"/>
      <c r="F62" s="43"/>
      <c r="G62" s="43"/>
      <c r="H62" s="43"/>
      <c r="I62" s="4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F39C-09CD-4D7F-A85C-0715FA192560}">
  <dimension ref="A1:R3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I.3: ",tabeltype," objecten")</f>
        <v>Bijlage I.3: Invultabel objecten</v>
      </c>
    </row>
    <row r="3" spans="1:18" ht="51" x14ac:dyDescent="0.2">
      <c r="A3" s="8" t="s">
        <v>237</v>
      </c>
      <c r="B3" s="8" t="s">
        <v>238</v>
      </c>
      <c r="C3" s="8" t="s">
        <v>239</v>
      </c>
      <c r="D3" s="8" t="s">
        <v>240</v>
      </c>
      <c r="E3" s="8" t="s">
        <v>7</v>
      </c>
      <c r="F3" s="8" t="s">
        <v>241</v>
      </c>
      <c r="G3" s="8" t="s">
        <v>242</v>
      </c>
      <c r="H3" s="8" t="s">
        <v>243</v>
      </c>
      <c r="I3" s="8" t="s">
        <v>244</v>
      </c>
      <c r="J3" s="8" t="s">
        <v>245</v>
      </c>
      <c r="K3" s="8" t="s">
        <v>246</v>
      </c>
      <c r="L3" s="8" t="s">
        <v>247</v>
      </c>
      <c r="M3" s="8" t="s">
        <v>248</v>
      </c>
      <c r="N3" s="8" t="s">
        <v>249</v>
      </c>
      <c r="O3" s="8" t="s">
        <v>250</v>
      </c>
      <c r="P3" s="8" t="s">
        <v>127</v>
      </c>
      <c r="Q3" s="8" t="s">
        <v>251</v>
      </c>
      <c r="R3" s="8" t="s">
        <v>252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253</v>
      </c>
      <c r="B6" s="15" t="s">
        <v>254</v>
      </c>
      <c r="C6" s="15" t="s">
        <v>255</v>
      </c>
      <c r="D6" s="15" t="s">
        <v>256</v>
      </c>
      <c r="E6" s="54" t="s">
        <v>12</v>
      </c>
      <c r="F6" s="55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56"/>
      <c r="J6" s="30">
        <f>H6+I6</f>
        <v>0</v>
      </c>
      <c r="K6" s="30">
        <f>G6+I6</f>
        <v>0</v>
      </c>
      <c r="L6" s="33">
        <f>SUMPRODUCT(taakfreqtabel1,kengetaltabel1,tarieftabel1,object1_opptabel1)*(1/VLOOKUP(E6,dagsoorttabel1,2,FALSE))</f>
        <v>0</v>
      </c>
      <c r="M6" s="33">
        <f>F6*I6</f>
        <v>0</v>
      </c>
      <c r="N6" s="33">
        <f>SUM(L6:M6)</f>
        <v>0</v>
      </c>
      <c r="O6" s="30">
        <f>J6*dagenperjaar1*VLOOKUP(E6,dagsoorttabel1,2,FALSE)</f>
        <v>0</v>
      </c>
      <c r="P6" s="30">
        <f>K6*dagenperjaar1*VLOOKUP(E6,dagsoorttabel1,2,FALSE)</f>
        <v>0</v>
      </c>
      <c r="Q6" s="33">
        <f>N6*dagenperjaar1*VLOOKUP(E6,dagsoorttabel1,2,FALSE)</f>
        <v>0</v>
      </c>
      <c r="R6" s="33">
        <f>Q6/12</f>
        <v>0</v>
      </c>
    </row>
    <row r="7" spans="1:18" x14ac:dyDescent="0.2">
      <c r="A7" s="20" t="s">
        <v>257</v>
      </c>
      <c r="B7" s="20" t="s">
        <v>258</v>
      </c>
      <c r="C7" s="20" t="s">
        <v>259</v>
      </c>
      <c r="D7" s="20" t="s">
        <v>260</v>
      </c>
      <c r="E7" s="57" t="s">
        <v>12</v>
      </c>
      <c r="F7" s="58">
        <f>gemuurtarief1</f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59"/>
      <c r="J7" s="34">
        <f>H7+I7</f>
        <v>0</v>
      </c>
      <c r="K7" s="34">
        <f>G7+I7</f>
        <v>0</v>
      </c>
      <c r="L7" s="37">
        <f>SUMPRODUCT(taakfreqtabel1,kengetaltabel1,tarieftabel1,object2_opptabel1)*(1/VLOOKUP(E7,dagsoorttabel1,2,FALSE))</f>
        <v>0</v>
      </c>
      <c r="M7" s="37">
        <f>F7*I7</f>
        <v>0</v>
      </c>
      <c r="N7" s="37">
        <f>SUM(L7:M7)</f>
        <v>0</v>
      </c>
      <c r="O7" s="34">
        <f>J7*dagenperjaar1*VLOOKUP(E7,dagsoorttabel1,2,FALSE)</f>
        <v>0</v>
      </c>
      <c r="P7" s="34">
        <f>K7*dagenperjaar1*VLOOKUP(E7,dagsoorttabel1,2,FALSE)</f>
        <v>0</v>
      </c>
      <c r="Q7" s="37">
        <f>N7*dagenperjaar1*VLOOKUP(E7,dagsoorttabel1,2,FALSE)</f>
        <v>0</v>
      </c>
      <c r="R7" s="37">
        <f>Q7/12</f>
        <v>0</v>
      </c>
    </row>
    <row r="8" spans="1:18" x14ac:dyDescent="0.2">
      <c r="A8" s="20" t="s">
        <v>261</v>
      </c>
      <c r="B8" s="20" t="s">
        <v>262</v>
      </c>
      <c r="C8" s="20" t="s">
        <v>263</v>
      </c>
      <c r="D8" s="20" t="s">
        <v>260</v>
      </c>
      <c r="E8" s="57" t="s">
        <v>12</v>
      </c>
      <c r="F8" s="58">
        <f>gemuurtarief1</f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59"/>
      <c r="J8" s="34">
        <f>H8+I8</f>
        <v>0</v>
      </c>
      <c r="K8" s="34">
        <f>G8+I8</f>
        <v>0</v>
      </c>
      <c r="L8" s="37">
        <f>SUMPRODUCT(taakfreqtabel1,kengetaltabel1,tarieftabel1,object3_opptabel1)*(1/VLOOKUP(E8,dagsoorttabel1,2,FALSE))</f>
        <v>0</v>
      </c>
      <c r="M8" s="37">
        <f>F8*I8</f>
        <v>0</v>
      </c>
      <c r="N8" s="37">
        <f>SUM(L8:M8)</f>
        <v>0</v>
      </c>
      <c r="O8" s="34">
        <f>J8*dagenperjaar1*VLOOKUP(E8,dagsoorttabel1,2,FALSE)</f>
        <v>0</v>
      </c>
      <c r="P8" s="34">
        <f>K8*dagenperjaar1*VLOOKUP(E8,dagsoorttabel1,2,FALSE)</f>
        <v>0</v>
      </c>
      <c r="Q8" s="37">
        <f>N8*dagenperjaar1*VLOOKUP(E8,dagsoorttabel1,2,FALSE)</f>
        <v>0</v>
      </c>
      <c r="R8" s="37">
        <f>Q8/12</f>
        <v>0</v>
      </c>
    </row>
    <row r="9" spans="1:18" x14ac:dyDescent="0.2">
      <c r="A9" s="20" t="s">
        <v>264</v>
      </c>
      <c r="B9" s="20" t="s">
        <v>265</v>
      </c>
      <c r="C9" s="20" t="s">
        <v>266</v>
      </c>
      <c r="D9" s="20" t="s">
        <v>260</v>
      </c>
      <c r="E9" s="57" t="s">
        <v>12</v>
      </c>
      <c r="F9" s="58">
        <f>gemuurtarief1</f>
        <v>0</v>
      </c>
      <c r="G9" s="34">
        <f>SUMPRODUCT(taakfreqtabel1,uurfactortabel1,kengetaltabel1,object4_opptabel1)*(1/VLOOKUP(E9,dagsoorttabel1,2,FALSE))</f>
        <v>0.33000000000000007</v>
      </c>
      <c r="H9" s="34">
        <f>SUMPRODUCT(dagwerktabel1,taakfreqtabel1,uurfactortabel1,kengetaltabel1,object4_opptabel1)*(1/VLOOKUP(E9,dagsoorttabel1,2,FALSE))</f>
        <v>0</v>
      </c>
      <c r="I9" s="59"/>
      <c r="J9" s="34">
        <f>H9+I9</f>
        <v>0</v>
      </c>
      <c r="K9" s="34">
        <f>G9+I9</f>
        <v>0.33000000000000007</v>
      </c>
      <c r="L9" s="37">
        <f>SUMPRODUCT(taakfreqtabel1,kengetaltabel1,tarieftabel1,object4_opptabel1)*(1/VLOOKUP(E9,dagsoorttabel1,2,FALSE))</f>
        <v>0</v>
      </c>
      <c r="M9" s="37">
        <f>F9*I9</f>
        <v>0</v>
      </c>
      <c r="N9" s="37">
        <f>SUM(L9:M9)</f>
        <v>0</v>
      </c>
      <c r="O9" s="34">
        <f>J9*dagenperjaar1*VLOOKUP(E9,dagsoorttabel1,2,FALSE)</f>
        <v>0</v>
      </c>
      <c r="P9" s="34">
        <f>K9*dagenperjaar1*VLOOKUP(E9,dagsoorttabel1,2,FALSE)</f>
        <v>69.300000000000011</v>
      </c>
      <c r="Q9" s="37">
        <f>N9*dagenperjaar1*VLOOKUP(E9,dagsoorttabel1,2,FALSE)</f>
        <v>0</v>
      </c>
      <c r="R9" s="37">
        <f>Q9/12</f>
        <v>0</v>
      </c>
    </row>
    <row r="10" spans="1:18" x14ac:dyDescent="0.2">
      <c r="A10" s="20" t="s">
        <v>267</v>
      </c>
      <c r="B10" s="20" t="s">
        <v>268</v>
      </c>
      <c r="C10" s="20" t="s">
        <v>269</v>
      </c>
      <c r="D10" s="20" t="s">
        <v>260</v>
      </c>
      <c r="E10" s="57" t="s">
        <v>12</v>
      </c>
      <c r="F10" s="58">
        <f>gemuurtarief1</f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59"/>
      <c r="J10" s="34">
        <f>H10+I10</f>
        <v>0</v>
      </c>
      <c r="K10" s="34">
        <f>G10+I10</f>
        <v>0</v>
      </c>
      <c r="L10" s="37">
        <f>SUMPRODUCT(taakfreqtabel1,kengetaltabel1,tarieftabel1,object5_opptabel1)*(1/VLOOKUP(E10,dagsoorttabel1,2,FALSE))</f>
        <v>0</v>
      </c>
      <c r="M10" s="37">
        <f>F10*I10</f>
        <v>0</v>
      </c>
      <c r="N10" s="37">
        <f>SUM(L10:M10)</f>
        <v>0</v>
      </c>
      <c r="O10" s="34">
        <f>J10*dagenperjaar1*VLOOKUP(E10,dagsoorttabel1,2,FALSE)</f>
        <v>0</v>
      </c>
      <c r="P10" s="34">
        <f>K10*dagenperjaar1*VLOOKUP(E10,dagsoorttabel1,2,FALSE)</f>
        <v>0</v>
      </c>
      <c r="Q10" s="37">
        <f>N10*dagenperjaar1*VLOOKUP(E10,dagsoorttabel1,2,FALSE)</f>
        <v>0</v>
      </c>
      <c r="R10" s="37">
        <f>Q10/12</f>
        <v>0</v>
      </c>
    </row>
    <row r="11" spans="1:18" x14ac:dyDescent="0.2">
      <c r="A11" s="20" t="s">
        <v>270</v>
      </c>
      <c r="B11" s="20" t="s">
        <v>271</v>
      </c>
      <c r="C11" s="20" t="s">
        <v>272</v>
      </c>
      <c r="D11" s="20" t="s">
        <v>260</v>
      </c>
      <c r="E11" s="57" t="s">
        <v>12</v>
      </c>
      <c r="F11" s="58">
        <f>gemuurtarief1</f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59"/>
      <c r="J11" s="34">
        <f>H11+I11</f>
        <v>0</v>
      </c>
      <c r="K11" s="34">
        <f>G11+I11</f>
        <v>0</v>
      </c>
      <c r="L11" s="37">
        <f>SUMPRODUCT(taakfreqtabel1,kengetaltabel1,tarieftabel1,object6_opptabel1)*(1/VLOOKUP(E11,dagsoorttabel1,2,FALSE))</f>
        <v>0</v>
      </c>
      <c r="M11" s="37">
        <f>F11*I11</f>
        <v>0</v>
      </c>
      <c r="N11" s="37">
        <f>SUM(L11:M11)</f>
        <v>0</v>
      </c>
      <c r="O11" s="34">
        <f>J11*dagenperjaar1*VLOOKUP(E11,dagsoorttabel1,2,FALSE)</f>
        <v>0</v>
      </c>
      <c r="P11" s="34">
        <f>K11*dagenperjaar1*VLOOKUP(E11,dagsoorttabel1,2,FALSE)</f>
        <v>0</v>
      </c>
      <c r="Q11" s="37">
        <f>N11*dagenperjaar1*VLOOKUP(E11,dagsoorttabel1,2,FALSE)</f>
        <v>0</v>
      </c>
      <c r="R11" s="37">
        <f>Q11/12</f>
        <v>0</v>
      </c>
    </row>
    <row r="12" spans="1:18" x14ac:dyDescent="0.2">
      <c r="A12" s="20" t="s">
        <v>273</v>
      </c>
      <c r="B12" s="20" t="s">
        <v>274</v>
      </c>
      <c r="C12" s="20" t="s">
        <v>275</v>
      </c>
      <c r="D12" s="20" t="s">
        <v>260</v>
      </c>
      <c r="E12" s="57" t="s">
        <v>12</v>
      </c>
      <c r="F12" s="58">
        <f>gemuurtarief1</f>
        <v>0</v>
      </c>
      <c r="G12" s="34">
        <f>SUMPRODUCT(taakfreqtabel1,uurfactortabel1,kengetaltabel1,object7_opptabel1)*(1/VLOOKUP(E12,dagsoorttabel1,2,FALSE))</f>
        <v>0</v>
      </c>
      <c r="H12" s="34">
        <f>SUMPRODUCT(dagwerktabel1,taakfreqtabel1,uurfactortabel1,kengetaltabel1,object7_opptabel1)*(1/VLOOKUP(E12,dagsoorttabel1,2,FALSE))</f>
        <v>0</v>
      </c>
      <c r="I12" s="59"/>
      <c r="J12" s="34">
        <f>H12+I12</f>
        <v>0</v>
      </c>
      <c r="K12" s="34">
        <f>G12+I12</f>
        <v>0</v>
      </c>
      <c r="L12" s="37">
        <f>SUMPRODUCT(taakfreqtabel1,kengetaltabel1,tarieftabel1,object7_opptabel1)*(1/VLOOKUP(E12,dagsoorttabel1,2,FALSE))</f>
        <v>0</v>
      </c>
      <c r="M12" s="37">
        <f>F12*I12</f>
        <v>0</v>
      </c>
      <c r="N12" s="37">
        <f>SUM(L12:M12)</f>
        <v>0</v>
      </c>
      <c r="O12" s="34">
        <f>J12*dagenperjaar1*VLOOKUP(E12,dagsoorttabel1,2,FALSE)</f>
        <v>0</v>
      </c>
      <c r="P12" s="34">
        <f>K12*dagenperjaar1*VLOOKUP(E12,dagsoorttabel1,2,FALSE)</f>
        <v>0</v>
      </c>
      <c r="Q12" s="37">
        <f>N12*dagenperjaar1*VLOOKUP(E12,dagsoorttabel1,2,FALSE)</f>
        <v>0</v>
      </c>
      <c r="R12" s="37">
        <f>Q12/12</f>
        <v>0</v>
      </c>
    </row>
    <row r="13" spans="1:18" x14ac:dyDescent="0.2">
      <c r="A13" s="20" t="s">
        <v>276</v>
      </c>
      <c r="B13" s="20" t="s">
        <v>277</v>
      </c>
      <c r="C13" s="20" t="s">
        <v>278</v>
      </c>
      <c r="D13" s="20" t="s">
        <v>260</v>
      </c>
      <c r="E13" s="57" t="s">
        <v>12</v>
      </c>
      <c r="F13" s="58">
        <f>gemuurtarief1</f>
        <v>0</v>
      </c>
      <c r="G13" s="34">
        <f>SUMPRODUCT(taakfreqtabel1,uurfactortabel1,kengetaltabel1,object8_opptabel1)*(1/VLOOKUP(E13,dagsoorttabel1,2,FALSE))</f>
        <v>3.8095238095238093</v>
      </c>
      <c r="H13" s="34">
        <f>SUMPRODUCT(dagwerktabel1,taakfreqtabel1,uurfactortabel1,kengetaltabel1,object8_opptabel1)*(1/VLOOKUP(E13,dagsoorttabel1,2,FALSE))</f>
        <v>0</v>
      </c>
      <c r="I13" s="59"/>
      <c r="J13" s="34">
        <f>H13+I13</f>
        <v>0</v>
      </c>
      <c r="K13" s="34">
        <f>G13+I13</f>
        <v>3.8095238095238093</v>
      </c>
      <c r="L13" s="37">
        <f>SUMPRODUCT(taakfreqtabel1,kengetaltabel1,tarieftabel1,object8_opptabel1)*(1/VLOOKUP(E13,dagsoorttabel1,2,FALSE))</f>
        <v>0</v>
      </c>
      <c r="M13" s="37">
        <f>F13*I13</f>
        <v>0</v>
      </c>
      <c r="N13" s="37">
        <f>SUM(L13:M13)</f>
        <v>0</v>
      </c>
      <c r="O13" s="34">
        <f>J13*dagenperjaar1*VLOOKUP(E13,dagsoorttabel1,2,FALSE)</f>
        <v>0</v>
      </c>
      <c r="P13" s="34">
        <f>K13*dagenperjaar1*VLOOKUP(E13,dagsoorttabel1,2,FALSE)</f>
        <v>800</v>
      </c>
      <c r="Q13" s="37">
        <f>N13*dagenperjaar1*VLOOKUP(E13,dagsoorttabel1,2,FALSE)</f>
        <v>0</v>
      </c>
      <c r="R13" s="37">
        <f>Q13/12</f>
        <v>0</v>
      </c>
    </row>
    <row r="14" spans="1:18" x14ac:dyDescent="0.2">
      <c r="A14" s="20" t="s">
        <v>279</v>
      </c>
      <c r="B14" s="20" t="s">
        <v>280</v>
      </c>
      <c r="C14" s="20" t="s">
        <v>281</v>
      </c>
      <c r="D14" s="20" t="s">
        <v>260</v>
      </c>
      <c r="E14" s="57" t="s">
        <v>12</v>
      </c>
      <c r="F14" s="58">
        <f>gemuurtarief1</f>
        <v>0</v>
      </c>
      <c r="G14" s="34">
        <f>SUMPRODUCT(taakfreqtabel1,uurfactortabel1,kengetaltabel1,object9_opptabel1)*(1/VLOOKUP(E14,dagsoorttabel1,2,FALSE))</f>
        <v>0</v>
      </c>
      <c r="H14" s="34">
        <f>SUMPRODUCT(dagwerktabel1,taakfreqtabel1,uurfactortabel1,kengetaltabel1,object9_opptabel1)*(1/VLOOKUP(E14,dagsoorttabel1,2,FALSE))</f>
        <v>0</v>
      </c>
      <c r="I14" s="59"/>
      <c r="J14" s="34">
        <f>H14+I14</f>
        <v>0</v>
      </c>
      <c r="K14" s="34">
        <f>G14+I14</f>
        <v>0</v>
      </c>
      <c r="L14" s="37">
        <f>SUMPRODUCT(taakfreqtabel1,kengetaltabel1,tarieftabel1,object9_opptabel1)*(1/VLOOKUP(E14,dagsoorttabel1,2,FALSE))</f>
        <v>0</v>
      </c>
      <c r="M14" s="37">
        <f>F14*I14</f>
        <v>0</v>
      </c>
      <c r="N14" s="37">
        <f>SUM(L14:M14)</f>
        <v>0</v>
      </c>
      <c r="O14" s="34">
        <f>J14*dagenperjaar1*VLOOKUP(E14,dagsoorttabel1,2,FALSE)</f>
        <v>0</v>
      </c>
      <c r="P14" s="34">
        <f>K14*dagenperjaar1*VLOOKUP(E14,dagsoorttabel1,2,FALSE)</f>
        <v>0</v>
      </c>
      <c r="Q14" s="37">
        <f>N14*dagenperjaar1*VLOOKUP(E14,dagsoorttabel1,2,FALSE)</f>
        <v>0</v>
      </c>
      <c r="R14" s="37">
        <f>Q14/12</f>
        <v>0</v>
      </c>
    </row>
    <row r="15" spans="1:18" x14ac:dyDescent="0.2">
      <c r="A15" s="20" t="s">
        <v>282</v>
      </c>
      <c r="B15" s="20" t="s">
        <v>283</v>
      </c>
      <c r="C15" s="20" t="s">
        <v>284</v>
      </c>
      <c r="D15" s="20" t="s">
        <v>285</v>
      </c>
      <c r="E15" s="57" t="s">
        <v>10</v>
      </c>
      <c r="F15" s="58">
        <f>gemuurtarief1</f>
        <v>0</v>
      </c>
      <c r="G15" s="34">
        <f>SUMPRODUCT(taakfreqtabel1,uurfactortabel1,kengetaltabel1,object10_opptabel1)*(1/VLOOKUP(E15,dagsoorttabel1,2,FALSE))</f>
        <v>0</v>
      </c>
      <c r="H15" s="34">
        <f>SUMPRODUCT(dagwerktabel1,taakfreqtabel1,uurfactortabel1,kengetaltabel1,object10_opptabel1)*(1/VLOOKUP(E15,dagsoorttabel1,2,FALSE))</f>
        <v>0</v>
      </c>
      <c r="I15" s="59"/>
      <c r="J15" s="34">
        <f>H15+I15</f>
        <v>0</v>
      </c>
      <c r="K15" s="34">
        <f>G15+I15</f>
        <v>0</v>
      </c>
      <c r="L15" s="37">
        <f>SUMPRODUCT(taakfreqtabel1,kengetaltabel1,tarieftabel1,object10_opptabel1)*(1/VLOOKUP(E15,dagsoorttabel1,2,FALSE))</f>
        <v>0</v>
      </c>
      <c r="M15" s="37">
        <f>F15*I15</f>
        <v>0</v>
      </c>
      <c r="N15" s="37">
        <f>SUM(L15:M15)</f>
        <v>0</v>
      </c>
      <c r="O15" s="34">
        <f>J15*dagenperjaar1*VLOOKUP(E15,dagsoorttabel1,2,FALSE)</f>
        <v>0</v>
      </c>
      <c r="P15" s="34">
        <f>K15*dagenperjaar1*VLOOKUP(E15,dagsoorttabel1,2,FALSE)</f>
        <v>0</v>
      </c>
      <c r="Q15" s="37">
        <f>N15*dagenperjaar1*VLOOKUP(E15,dagsoorttabel1,2,FALSE)</f>
        <v>0</v>
      </c>
      <c r="R15" s="37">
        <f>Q15/12</f>
        <v>0</v>
      </c>
    </row>
    <row r="16" spans="1:18" x14ac:dyDescent="0.2">
      <c r="A16" s="20" t="s">
        <v>286</v>
      </c>
      <c r="B16" s="20" t="s">
        <v>287</v>
      </c>
      <c r="C16" s="20" t="s">
        <v>288</v>
      </c>
      <c r="D16" s="20" t="s">
        <v>260</v>
      </c>
      <c r="E16" s="57" t="s">
        <v>9</v>
      </c>
      <c r="F16" s="58">
        <f>gemuurtarief1</f>
        <v>0</v>
      </c>
      <c r="G16" s="34">
        <f>SUMPRODUCT(taakfreqtabel1,uurfactortabel1,kengetaltabel1,object11_opptabel1)*(1/VLOOKUP(E16,dagsoorttabel1,2,FALSE))</f>
        <v>0</v>
      </c>
      <c r="H16" s="34">
        <f>SUMPRODUCT(dagwerktabel1,taakfreqtabel1,uurfactortabel1,kengetaltabel1,object11_opptabel1)*(1/VLOOKUP(E16,dagsoorttabel1,2,FALSE))</f>
        <v>0</v>
      </c>
      <c r="I16" s="59"/>
      <c r="J16" s="34">
        <f>H16+I16</f>
        <v>0</v>
      </c>
      <c r="K16" s="34">
        <f>G16+I16</f>
        <v>0</v>
      </c>
      <c r="L16" s="37">
        <f>SUMPRODUCT(taakfreqtabel1,kengetaltabel1,tarieftabel1,object11_opptabel1)*(1/VLOOKUP(E16,dagsoorttabel1,2,FALSE))</f>
        <v>0</v>
      </c>
      <c r="M16" s="37">
        <f>F16*I16</f>
        <v>0</v>
      </c>
      <c r="N16" s="37">
        <f>SUM(L16:M16)</f>
        <v>0</v>
      </c>
      <c r="O16" s="34">
        <f>J16*dagenperjaar1*VLOOKUP(E16,dagsoorttabel1,2,FALSE)</f>
        <v>0</v>
      </c>
      <c r="P16" s="34">
        <f>K16*dagenperjaar1*VLOOKUP(E16,dagsoorttabel1,2,FALSE)</f>
        <v>0</v>
      </c>
      <c r="Q16" s="37">
        <f>N16*dagenperjaar1*VLOOKUP(E16,dagsoorttabel1,2,FALSE)</f>
        <v>0</v>
      </c>
      <c r="R16" s="37">
        <f>Q16/12</f>
        <v>0</v>
      </c>
    </row>
    <row r="17" spans="1:18" x14ac:dyDescent="0.2">
      <c r="A17" s="20" t="s">
        <v>289</v>
      </c>
      <c r="B17" s="20" t="s">
        <v>290</v>
      </c>
      <c r="C17" s="20" t="s">
        <v>291</v>
      </c>
      <c r="D17" s="20" t="s">
        <v>260</v>
      </c>
      <c r="E17" s="57" t="s">
        <v>12</v>
      </c>
      <c r="F17" s="58">
        <f>gemuurtarief1</f>
        <v>0</v>
      </c>
      <c r="G17" s="34">
        <f>SUMPRODUCT(taakfreqtabel1,uurfactortabel1,kengetaltabel1,object12_opptabel1)*(1/VLOOKUP(E17,dagsoorttabel1,2,FALSE))</f>
        <v>0</v>
      </c>
      <c r="H17" s="34">
        <f>SUMPRODUCT(dagwerktabel1,taakfreqtabel1,uurfactortabel1,kengetaltabel1,object12_opptabel1)*(1/VLOOKUP(E17,dagsoorttabel1,2,FALSE))</f>
        <v>0</v>
      </c>
      <c r="I17" s="59"/>
      <c r="J17" s="34">
        <f>H17+I17</f>
        <v>0</v>
      </c>
      <c r="K17" s="34">
        <f>G17+I17</f>
        <v>0</v>
      </c>
      <c r="L17" s="37">
        <f>SUMPRODUCT(taakfreqtabel1,kengetaltabel1,tarieftabel1,object12_opptabel1)*(1/VLOOKUP(E17,dagsoorttabel1,2,FALSE))</f>
        <v>0</v>
      </c>
      <c r="M17" s="37">
        <f>F17*I17</f>
        <v>0</v>
      </c>
      <c r="N17" s="37">
        <f>SUM(L17:M17)</f>
        <v>0</v>
      </c>
      <c r="O17" s="34">
        <f>J17*dagenperjaar1*VLOOKUP(E17,dagsoorttabel1,2,FALSE)</f>
        <v>0</v>
      </c>
      <c r="P17" s="34">
        <f>K17*dagenperjaar1*VLOOKUP(E17,dagsoorttabel1,2,FALSE)</f>
        <v>0</v>
      </c>
      <c r="Q17" s="37">
        <f>N17*dagenperjaar1*VLOOKUP(E17,dagsoorttabel1,2,FALSE)</f>
        <v>0</v>
      </c>
      <c r="R17" s="37">
        <f>Q17/12</f>
        <v>0</v>
      </c>
    </row>
    <row r="18" spans="1:18" x14ac:dyDescent="0.2">
      <c r="A18" s="20" t="s">
        <v>292</v>
      </c>
      <c r="B18" s="20" t="s">
        <v>293</v>
      </c>
      <c r="C18" s="20" t="s">
        <v>294</v>
      </c>
      <c r="D18" s="20" t="s">
        <v>260</v>
      </c>
      <c r="E18" s="57" t="s">
        <v>12</v>
      </c>
      <c r="F18" s="58">
        <f>gemuurtarief1</f>
        <v>0</v>
      </c>
      <c r="G18" s="34">
        <f>SUMPRODUCT(taakfreqtabel1,uurfactortabel1,kengetaltabel1,object13_opptabel1)*(1/VLOOKUP(E18,dagsoorttabel1,2,FALSE))</f>
        <v>0</v>
      </c>
      <c r="H18" s="34">
        <f>SUMPRODUCT(dagwerktabel1,taakfreqtabel1,uurfactortabel1,kengetaltabel1,object13_opptabel1)*(1/VLOOKUP(E18,dagsoorttabel1,2,FALSE))</f>
        <v>0</v>
      </c>
      <c r="I18" s="59"/>
      <c r="J18" s="34">
        <f>H18+I18</f>
        <v>0</v>
      </c>
      <c r="K18" s="34">
        <f>G18+I18</f>
        <v>0</v>
      </c>
      <c r="L18" s="37">
        <f>SUMPRODUCT(taakfreqtabel1,kengetaltabel1,tarieftabel1,object13_opptabel1)*(1/VLOOKUP(E18,dagsoorttabel1,2,FALSE))</f>
        <v>0</v>
      </c>
      <c r="M18" s="37">
        <f>F18*I18</f>
        <v>0</v>
      </c>
      <c r="N18" s="37">
        <f>SUM(L18:M18)</f>
        <v>0</v>
      </c>
      <c r="O18" s="34">
        <f>J18*dagenperjaar1*VLOOKUP(E18,dagsoorttabel1,2,FALSE)</f>
        <v>0</v>
      </c>
      <c r="P18" s="34">
        <f>K18*dagenperjaar1*VLOOKUP(E18,dagsoorttabel1,2,FALSE)</f>
        <v>0</v>
      </c>
      <c r="Q18" s="37">
        <f>N18*dagenperjaar1*VLOOKUP(E18,dagsoorttabel1,2,FALSE)</f>
        <v>0</v>
      </c>
      <c r="R18" s="37">
        <f>Q18/12</f>
        <v>0</v>
      </c>
    </row>
    <row r="19" spans="1:18" x14ac:dyDescent="0.2">
      <c r="A19" s="20" t="s">
        <v>295</v>
      </c>
      <c r="B19" s="20" t="s">
        <v>296</v>
      </c>
      <c r="C19" s="20" t="s">
        <v>297</v>
      </c>
      <c r="D19" s="20" t="s">
        <v>260</v>
      </c>
      <c r="E19" s="57" t="s">
        <v>12</v>
      </c>
      <c r="F19" s="58">
        <f>gemuurtarief1</f>
        <v>0</v>
      </c>
      <c r="G19" s="34">
        <f>SUMPRODUCT(taakfreqtabel1,uurfactortabel1,kengetaltabel1,object14_opptabel1)*(1/VLOOKUP(E19,dagsoorttabel1,2,FALSE))</f>
        <v>0</v>
      </c>
      <c r="H19" s="34">
        <f>SUMPRODUCT(dagwerktabel1,taakfreqtabel1,uurfactortabel1,kengetaltabel1,object14_opptabel1)*(1/VLOOKUP(E19,dagsoorttabel1,2,FALSE))</f>
        <v>0</v>
      </c>
      <c r="I19" s="59"/>
      <c r="J19" s="34">
        <f>H19+I19</f>
        <v>0</v>
      </c>
      <c r="K19" s="34">
        <f>G19+I19</f>
        <v>0</v>
      </c>
      <c r="L19" s="37">
        <f>SUMPRODUCT(taakfreqtabel1,kengetaltabel1,tarieftabel1,object14_opptabel1)*(1/VLOOKUP(E19,dagsoorttabel1,2,FALSE))</f>
        <v>0</v>
      </c>
      <c r="M19" s="37">
        <f>F19*I19</f>
        <v>0</v>
      </c>
      <c r="N19" s="37">
        <f>SUM(L19:M19)</f>
        <v>0</v>
      </c>
      <c r="O19" s="34">
        <f>J19*dagenperjaar1*VLOOKUP(E19,dagsoorttabel1,2,FALSE)</f>
        <v>0</v>
      </c>
      <c r="P19" s="34">
        <f>K19*dagenperjaar1*VLOOKUP(E19,dagsoorttabel1,2,FALSE)</f>
        <v>0</v>
      </c>
      <c r="Q19" s="37">
        <f>N19*dagenperjaar1*VLOOKUP(E19,dagsoorttabel1,2,FALSE)</f>
        <v>0</v>
      </c>
      <c r="R19" s="37">
        <f>Q19/12</f>
        <v>0</v>
      </c>
    </row>
    <row r="20" spans="1:18" x14ac:dyDescent="0.2">
      <c r="A20" s="20" t="s">
        <v>298</v>
      </c>
      <c r="B20" s="20" t="s">
        <v>299</v>
      </c>
      <c r="C20" s="20" t="s">
        <v>300</v>
      </c>
      <c r="D20" s="20" t="s">
        <v>260</v>
      </c>
      <c r="E20" s="57" t="s">
        <v>12</v>
      </c>
      <c r="F20" s="58">
        <f>gemuurtarief1</f>
        <v>0</v>
      </c>
      <c r="G20" s="34">
        <f>SUMPRODUCT(taakfreqtabel1,uurfactortabel1,kengetaltabel1,object15_opptabel1)*(1/VLOOKUP(E20,dagsoorttabel1,2,FALSE))</f>
        <v>0</v>
      </c>
      <c r="H20" s="34">
        <f>SUMPRODUCT(dagwerktabel1,taakfreqtabel1,uurfactortabel1,kengetaltabel1,object15_opptabel1)*(1/VLOOKUP(E20,dagsoorttabel1,2,FALSE))</f>
        <v>0</v>
      </c>
      <c r="I20" s="59"/>
      <c r="J20" s="34">
        <f>H20+I20</f>
        <v>0</v>
      </c>
      <c r="K20" s="34">
        <f>G20+I20</f>
        <v>0</v>
      </c>
      <c r="L20" s="37">
        <f>SUMPRODUCT(taakfreqtabel1,kengetaltabel1,tarieftabel1,object15_opptabel1)*(1/VLOOKUP(E20,dagsoorttabel1,2,FALSE))</f>
        <v>0</v>
      </c>
      <c r="M20" s="37">
        <f>F20*I20</f>
        <v>0</v>
      </c>
      <c r="N20" s="37">
        <f>SUM(L20:M20)</f>
        <v>0</v>
      </c>
      <c r="O20" s="34">
        <f>J20*dagenperjaar1*VLOOKUP(E20,dagsoorttabel1,2,FALSE)</f>
        <v>0</v>
      </c>
      <c r="P20" s="34">
        <f>K20*dagenperjaar1*VLOOKUP(E20,dagsoorttabel1,2,FALSE)</f>
        <v>0</v>
      </c>
      <c r="Q20" s="37">
        <f>N20*dagenperjaar1*VLOOKUP(E20,dagsoorttabel1,2,FALSE)</f>
        <v>0</v>
      </c>
      <c r="R20" s="37">
        <f>Q20/12</f>
        <v>0</v>
      </c>
    </row>
    <row r="21" spans="1:18" x14ac:dyDescent="0.2">
      <c r="A21" s="20" t="s">
        <v>301</v>
      </c>
      <c r="B21" s="20" t="s">
        <v>302</v>
      </c>
      <c r="C21" s="20" t="s">
        <v>303</v>
      </c>
      <c r="D21" s="20" t="s">
        <v>260</v>
      </c>
      <c r="E21" s="57" t="s">
        <v>12</v>
      </c>
      <c r="F21" s="58">
        <f>gemuurtarief1</f>
        <v>0</v>
      </c>
      <c r="G21" s="34">
        <f>SUMPRODUCT(taakfreqtabel1,uurfactortabel1,kengetaltabel1,object16_opptabel1)*(1/VLOOKUP(E21,dagsoorttabel1,2,FALSE))</f>
        <v>0</v>
      </c>
      <c r="H21" s="34">
        <f>SUMPRODUCT(dagwerktabel1,taakfreqtabel1,uurfactortabel1,kengetaltabel1,object16_opptabel1)*(1/VLOOKUP(E21,dagsoorttabel1,2,FALSE))</f>
        <v>0</v>
      </c>
      <c r="I21" s="59"/>
      <c r="J21" s="34">
        <f>H21+I21</f>
        <v>0</v>
      </c>
      <c r="K21" s="34">
        <f>G21+I21</f>
        <v>0</v>
      </c>
      <c r="L21" s="37">
        <f>SUMPRODUCT(taakfreqtabel1,kengetaltabel1,tarieftabel1,object16_opptabel1)*(1/VLOOKUP(E21,dagsoorttabel1,2,FALSE))</f>
        <v>0</v>
      </c>
      <c r="M21" s="37">
        <f>F21*I21</f>
        <v>0</v>
      </c>
      <c r="N21" s="37">
        <f>SUM(L21:M21)</f>
        <v>0</v>
      </c>
      <c r="O21" s="34">
        <f>J21*dagenperjaar1*VLOOKUP(E21,dagsoorttabel1,2,FALSE)</f>
        <v>0</v>
      </c>
      <c r="P21" s="34">
        <f>K21*dagenperjaar1*VLOOKUP(E21,dagsoorttabel1,2,FALSE)</f>
        <v>0</v>
      </c>
      <c r="Q21" s="37">
        <f>N21*dagenperjaar1*VLOOKUP(E21,dagsoorttabel1,2,FALSE)</f>
        <v>0</v>
      </c>
      <c r="R21" s="37">
        <f>Q21/12</f>
        <v>0</v>
      </c>
    </row>
    <row r="22" spans="1:18" x14ac:dyDescent="0.2">
      <c r="A22" s="20" t="s">
        <v>304</v>
      </c>
      <c r="B22" s="20" t="s">
        <v>305</v>
      </c>
      <c r="C22" s="20" t="s">
        <v>306</v>
      </c>
      <c r="D22" s="20" t="s">
        <v>260</v>
      </c>
      <c r="E22" s="57" t="s">
        <v>12</v>
      </c>
      <c r="F22" s="58">
        <f>gemuurtarief1</f>
        <v>0</v>
      </c>
      <c r="G22" s="34">
        <f>SUMPRODUCT(taakfreqtabel1,uurfactortabel1,kengetaltabel1,object17_opptabel1)*(1/VLOOKUP(E22,dagsoorttabel1,2,FALSE))</f>
        <v>0</v>
      </c>
      <c r="H22" s="34">
        <f>SUMPRODUCT(dagwerktabel1,taakfreqtabel1,uurfactortabel1,kengetaltabel1,object17_opptabel1)*(1/VLOOKUP(E22,dagsoorttabel1,2,FALSE))</f>
        <v>0</v>
      </c>
      <c r="I22" s="59"/>
      <c r="J22" s="34">
        <f>H22+I22</f>
        <v>0</v>
      </c>
      <c r="K22" s="34">
        <f>G22+I22</f>
        <v>0</v>
      </c>
      <c r="L22" s="37">
        <f>SUMPRODUCT(taakfreqtabel1,kengetaltabel1,tarieftabel1,object17_opptabel1)*(1/VLOOKUP(E22,dagsoorttabel1,2,FALSE))</f>
        <v>0</v>
      </c>
      <c r="M22" s="37">
        <f>F22*I22</f>
        <v>0</v>
      </c>
      <c r="N22" s="37">
        <f>SUM(L22:M22)</f>
        <v>0</v>
      </c>
      <c r="O22" s="34">
        <f>J22*dagenperjaar1*VLOOKUP(E22,dagsoorttabel1,2,FALSE)</f>
        <v>0</v>
      </c>
      <c r="P22" s="34">
        <f>K22*dagenperjaar1*VLOOKUP(E22,dagsoorttabel1,2,FALSE)</f>
        <v>0</v>
      </c>
      <c r="Q22" s="37">
        <f>N22*dagenperjaar1*VLOOKUP(E22,dagsoorttabel1,2,FALSE)</f>
        <v>0</v>
      </c>
      <c r="R22" s="37">
        <f>Q22/12</f>
        <v>0</v>
      </c>
    </row>
    <row r="23" spans="1:18" x14ac:dyDescent="0.2">
      <c r="A23" s="20" t="s">
        <v>307</v>
      </c>
      <c r="B23" s="20" t="s">
        <v>308</v>
      </c>
      <c r="C23" s="20" t="s">
        <v>309</v>
      </c>
      <c r="D23" s="20" t="s">
        <v>260</v>
      </c>
      <c r="E23" s="57" t="s">
        <v>12</v>
      </c>
      <c r="F23" s="58">
        <f>gemuurtarief1</f>
        <v>0</v>
      </c>
      <c r="G23" s="34">
        <f>SUMPRODUCT(taakfreqtabel1,uurfactortabel1,kengetaltabel1,object18_opptabel1)*(1/VLOOKUP(E23,dagsoorttabel1,2,FALSE))</f>
        <v>0</v>
      </c>
      <c r="H23" s="34">
        <f>SUMPRODUCT(dagwerktabel1,taakfreqtabel1,uurfactortabel1,kengetaltabel1,object18_opptabel1)*(1/VLOOKUP(E23,dagsoorttabel1,2,FALSE))</f>
        <v>0</v>
      </c>
      <c r="I23" s="59"/>
      <c r="J23" s="34">
        <f>H23+I23</f>
        <v>0</v>
      </c>
      <c r="K23" s="34">
        <f>G23+I23</f>
        <v>0</v>
      </c>
      <c r="L23" s="37">
        <f>SUMPRODUCT(taakfreqtabel1,kengetaltabel1,tarieftabel1,object18_opptabel1)*(1/VLOOKUP(E23,dagsoorttabel1,2,FALSE))</f>
        <v>0</v>
      </c>
      <c r="M23" s="37">
        <f>F23*I23</f>
        <v>0</v>
      </c>
      <c r="N23" s="37">
        <f>SUM(L23:M23)</f>
        <v>0</v>
      </c>
      <c r="O23" s="34">
        <f>J23*dagenperjaar1*VLOOKUP(E23,dagsoorttabel1,2,FALSE)</f>
        <v>0</v>
      </c>
      <c r="P23" s="34">
        <f>K23*dagenperjaar1*VLOOKUP(E23,dagsoorttabel1,2,FALSE)</f>
        <v>0</v>
      </c>
      <c r="Q23" s="37">
        <f>N23*dagenperjaar1*VLOOKUP(E23,dagsoorttabel1,2,FALSE)</f>
        <v>0</v>
      </c>
      <c r="R23" s="37">
        <f>Q23/12</f>
        <v>0</v>
      </c>
    </row>
    <row r="24" spans="1:18" x14ac:dyDescent="0.2">
      <c r="A24" s="20" t="s">
        <v>310</v>
      </c>
      <c r="B24" s="20" t="s">
        <v>311</v>
      </c>
      <c r="C24" s="20" t="s">
        <v>312</v>
      </c>
      <c r="D24" s="20"/>
      <c r="E24" s="57" t="s">
        <v>12</v>
      </c>
      <c r="F24" s="58">
        <f>gemuurtarief1</f>
        <v>0</v>
      </c>
      <c r="G24" s="34">
        <f>SUMPRODUCT(taakfreqtabel1,uurfactortabel1,kengetaltabel1,object19_opptabel1)*(1/VLOOKUP(E24,dagsoorttabel1,2,FALSE))</f>
        <v>0</v>
      </c>
      <c r="H24" s="34">
        <f>SUMPRODUCT(dagwerktabel1,taakfreqtabel1,uurfactortabel1,kengetaltabel1,object19_opptabel1)*(1/VLOOKUP(E24,dagsoorttabel1,2,FALSE))</f>
        <v>0</v>
      </c>
      <c r="I24" s="59"/>
      <c r="J24" s="34">
        <f>H24+I24</f>
        <v>0</v>
      </c>
      <c r="K24" s="34">
        <f>G24+I24</f>
        <v>0</v>
      </c>
      <c r="L24" s="37">
        <f>SUMPRODUCT(taakfreqtabel1,kengetaltabel1,tarieftabel1,object19_opptabel1)*(1/VLOOKUP(E24,dagsoorttabel1,2,FALSE))</f>
        <v>0</v>
      </c>
      <c r="M24" s="37">
        <f>F24*I24</f>
        <v>0</v>
      </c>
      <c r="N24" s="37">
        <f>SUM(L24:M24)</f>
        <v>0</v>
      </c>
      <c r="O24" s="34">
        <f>J24*dagenperjaar1*VLOOKUP(E24,dagsoorttabel1,2,FALSE)</f>
        <v>0</v>
      </c>
      <c r="P24" s="34">
        <f>K24*dagenperjaar1*VLOOKUP(E24,dagsoorttabel1,2,FALSE)</f>
        <v>0</v>
      </c>
      <c r="Q24" s="37">
        <f>N24*dagenperjaar1*VLOOKUP(E24,dagsoorttabel1,2,FALSE)</f>
        <v>0</v>
      </c>
      <c r="R24" s="37">
        <f>Q24/12</f>
        <v>0</v>
      </c>
    </row>
    <row r="25" spans="1:18" x14ac:dyDescent="0.2">
      <c r="A25" s="20" t="s">
        <v>313</v>
      </c>
      <c r="B25" s="20" t="s">
        <v>314</v>
      </c>
      <c r="C25" s="20" t="s">
        <v>315</v>
      </c>
      <c r="D25" s="20" t="s">
        <v>260</v>
      </c>
      <c r="E25" s="57" t="s">
        <v>12</v>
      </c>
      <c r="F25" s="58">
        <f>gemuurtarief1</f>
        <v>0</v>
      </c>
      <c r="G25" s="34">
        <f>SUMPRODUCT(taakfreqtabel1,uurfactortabel1,kengetaltabel1,object20_opptabel1)*(1/VLOOKUP(E25,dagsoorttabel1,2,FALSE))</f>
        <v>0</v>
      </c>
      <c r="H25" s="34">
        <f>SUMPRODUCT(dagwerktabel1,taakfreqtabel1,uurfactortabel1,kengetaltabel1,object20_opptabel1)*(1/VLOOKUP(E25,dagsoorttabel1,2,FALSE))</f>
        <v>0</v>
      </c>
      <c r="I25" s="59"/>
      <c r="J25" s="34">
        <f>H25+I25</f>
        <v>0</v>
      </c>
      <c r="K25" s="34">
        <f>G25+I25</f>
        <v>0</v>
      </c>
      <c r="L25" s="37">
        <f>SUMPRODUCT(taakfreqtabel1,kengetaltabel1,tarieftabel1,object20_opptabel1)*(1/VLOOKUP(E25,dagsoorttabel1,2,FALSE))</f>
        <v>0</v>
      </c>
      <c r="M25" s="37">
        <f>F25*I25</f>
        <v>0</v>
      </c>
      <c r="N25" s="37">
        <f>SUM(L25:M25)</f>
        <v>0</v>
      </c>
      <c r="O25" s="34">
        <f>J25*dagenperjaar1*VLOOKUP(E25,dagsoorttabel1,2,FALSE)</f>
        <v>0</v>
      </c>
      <c r="P25" s="34">
        <f>K25*dagenperjaar1*VLOOKUP(E25,dagsoorttabel1,2,FALSE)</f>
        <v>0</v>
      </c>
      <c r="Q25" s="37">
        <f>N25*dagenperjaar1*VLOOKUP(E25,dagsoorttabel1,2,FALSE)</f>
        <v>0</v>
      </c>
      <c r="R25" s="37">
        <f>Q25/12</f>
        <v>0</v>
      </c>
    </row>
    <row r="26" spans="1:18" x14ac:dyDescent="0.2">
      <c r="A26" s="25" t="s">
        <v>316</v>
      </c>
      <c r="B26" s="25" t="s">
        <v>317</v>
      </c>
      <c r="C26" s="25" t="s">
        <v>318</v>
      </c>
      <c r="D26" s="25" t="s">
        <v>319</v>
      </c>
      <c r="E26" s="60" t="s">
        <v>12</v>
      </c>
      <c r="F26" s="61">
        <f>gemuurtarief1</f>
        <v>0</v>
      </c>
      <c r="G26" s="39">
        <f>SUMPRODUCT(taakfreqtabel1,uurfactortabel1,kengetaltabel1,object21_opptabel1)*(1/VLOOKUP(E26,dagsoorttabel1,2,FALSE))</f>
        <v>0</v>
      </c>
      <c r="H26" s="39">
        <f>SUMPRODUCT(dagwerktabel1,taakfreqtabel1,uurfactortabel1,kengetaltabel1,object21_opptabel1)*(1/VLOOKUP(E26,dagsoorttabel1,2,FALSE))</f>
        <v>0</v>
      </c>
      <c r="I26" s="62"/>
      <c r="J26" s="39">
        <f>H26+I26</f>
        <v>0</v>
      </c>
      <c r="K26" s="39">
        <f>G26+I26</f>
        <v>0</v>
      </c>
      <c r="L26" s="41">
        <f>SUMPRODUCT(taakfreqtabel1,kengetaltabel1,tarieftabel1,object21_opptabel1)*(1/VLOOKUP(E26,dagsoorttabel1,2,FALSE))</f>
        <v>0</v>
      </c>
      <c r="M26" s="41">
        <f>F26*I26</f>
        <v>0</v>
      </c>
      <c r="N26" s="41">
        <f>SUM(L26:M26)</f>
        <v>0</v>
      </c>
      <c r="O26" s="39">
        <f>J26*dagenperjaar1*VLOOKUP(E26,dagsoorttabel1,2,FALSE)</f>
        <v>0</v>
      </c>
      <c r="P26" s="39">
        <f>K26*dagenperjaar1*VLOOKUP(E26,dagsoorttabel1,2,FALSE)</f>
        <v>0</v>
      </c>
      <c r="Q26" s="41">
        <f>N26*dagenperjaar1*VLOOKUP(E26,dagsoorttabel1,2,FALSE)</f>
        <v>0</v>
      </c>
      <c r="R26" s="41">
        <f>Q26/12</f>
        <v>0</v>
      </c>
    </row>
    <row r="27" spans="1:18" x14ac:dyDescent="0.2">
      <c r="A27" s="42" t="s">
        <v>205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>
        <f>SUM(O6:O26)</f>
        <v>0</v>
      </c>
      <c r="P27" s="44">
        <f>SUM(P6:P26)</f>
        <v>869.3</v>
      </c>
      <c r="Q27" s="45">
        <f>SUM(Q6:Q26)</f>
        <v>0</v>
      </c>
      <c r="R27" s="46">
        <f>SUM(R6:R26)</f>
        <v>0</v>
      </c>
    </row>
    <row r="28" spans="1:18" x14ac:dyDescent="0.2">
      <c r="A28" s="47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8"/>
    </row>
    <row r="30" spans="1:18" x14ac:dyDescent="0.2">
      <c r="A30" s="42" t="s">
        <v>320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>
        <f>urenjaartotaalhf1</f>
        <v>0</v>
      </c>
      <c r="P30" s="44">
        <f>urenjaartotaal1</f>
        <v>869.3</v>
      </c>
      <c r="Q30" s="45">
        <f>prijsjaartotaal1</f>
        <v>0</v>
      </c>
      <c r="R30" s="45">
        <f>prijsmaandtotaal1</f>
        <v>0</v>
      </c>
    </row>
    <row r="32" spans="1:18" x14ac:dyDescent="0.2">
      <c r="A32" s="42" t="s">
        <v>321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5">
        <f>Q30*1.21</f>
        <v>0</v>
      </c>
      <c r="R32" s="45">
        <f>R30*1.21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BA9B-A8A3-459B-9293-056E512D30EC}">
  <dimension ref="A1:K200"/>
  <sheetViews>
    <sheetView topLeftCell="A178"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I.4: ",tabeltype," niet-meewerkende objectleiding")</f>
        <v>Bijlage I.4: Invultabel niet-meewerkende objectleiding</v>
      </c>
    </row>
    <row r="3" spans="1:11" ht="38.25" x14ac:dyDescent="0.2">
      <c r="A3" s="8" t="s">
        <v>322</v>
      </c>
      <c r="B3" s="8" t="s">
        <v>7</v>
      </c>
      <c r="C3" s="8" t="s">
        <v>323</v>
      </c>
      <c r="D3" s="8" t="s">
        <v>324</v>
      </c>
      <c r="E3" s="8" t="s">
        <v>325</v>
      </c>
      <c r="F3" s="8" t="s">
        <v>326</v>
      </c>
      <c r="G3" s="8" t="s">
        <v>327</v>
      </c>
      <c r="H3" s="8" t="s">
        <v>127</v>
      </c>
      <c r="I3" s="8" t="s">
        <v>328</v>
      </c>
      <c r="J3" s="8" t="s">
        <v>329</v>
      </c>
      <c r="K3" s="8" t="s">
        <v>330</v>
      </c>
    </row>
    <row r="4" spans="1:11" x14ac:dyDescent="0.2">
      <c r="A4" s="63"/>
      <c r="B4" s="64"/>
      <c r="C4" s="64"/>
      <c r="D4" s="64"/>
      <c r="E4" s="64"/>
      <c r="F4" s="64"/>
      <c r="G4" s="64"/>
      <c r="H4" s="64"/>
      <c r="I4" s="64"/>
      <c r="J4" s="64"/>
      <c r="K4" s="65"/>
    </row>
    <row r="5" spans="1:11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6" t="s">
        <v>331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332</v>
      </c>
      <c r="B8" s="15" t="s">
        <v>12</v>
      </c>
      <c r="C8" s="16">
        <f>IF(ISBLANK(B8),0,IF(ISERROR(VALUE(B8)),VLOOKUP(B8,dagsoorttabel1,2,FALSE)*dagenperjaar1,VALUE(B8)))</f>
        <v>210</v>
      </c>
      <c r="D8" s="15" t="s">
        <v>333</v>
      </c>
      <c r="E8" s="19"/>
      <c r="F8" s="18"/>
      <c r="G8" s="67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68">
        <f>dagenperjaar1</f>
        <v>210</v>
      </c>
      <c r="D9" s="69" t="s">
        <v>334</v>
      </c>
      <c r="E9" s="24"/>
      <c r="F9" s="23"/>
      <c r="G9" s="70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68">
        <f>dagenperjaar1</f>
        <v>210</v>
      </c>
      <c r="D10" s="69" t="s">
        <v>334</v>
      </c>
      <c r="E10" s="24"/>
      <c r="F10" s="23"/>
      <c r="G10" s="70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68">
        <f>dagenperjaar1</f>
        <v>210</v>
      </c>
      <c r="D11" s="69" t="s">
        <v>335</v>
      </c>
      <c r="E11" s="24"/>
      <c r="F11" s="71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72">
        <f>dagenperjaar1</f>
        <v>210</v>
      </c>
      <c r="D12" s="73" t="s">
        <v>335</v>
      </c>
      <c r="E12" s="29"/>
      <c r="F12" s="74"/>
      <c r="G12" s="27"/>
      <c r="H12" s="39">
        <f>IF(ISBLANK(G12),0,G12*C12)+IF(ISBLANK(F12),0,F12*objecturen1_1)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75" t="s">
        <v>336</v>
      </c>
      <c r="B13" s="43"/>
      <c r="C13" s="43"/>
      <c r="D13" s="43"/>
      <c r="E13" s="43"/>
      <c r="F13" s="43"/>
      <c r="G13" s="43"/>
      <c r="H13" s="44">
        <f>SUM(H8:H12)</f>
        <v>0</v>
      </c>
      <c r="I13" s="43"/>
      <c r="J13" s="45">
        <f>SUM(J8:J12)</f>
        <v>0</v>
      </c>
      <c r="K13" s="46">
        <f>SUM(K8:K12)</f>
        <v>0</v>
      </c>
    </row>
    <row r="14" spans="1:11" x14ac:dyDescent="0.2">
      <c r="A14" s="47"/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66" t="s">
        <v>337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332</v>
      </c>
      <c r="B17" s="15" t="s">
        <v>12</v>
      </c>
      <c r="C17" s="16">
        <f>IF(ISBLANK(B17),0,IF(ISERROR(VALUE(B17)),VLOOKUP(B17,dagsoorttabel1,2,FALSE)*dagenperjaar1,VALUE(B17)))</f>
        <v>210</v>
      </c>
      <c r="D17" s="15" t="s">
        <v>333</v>
      </c>
      <c r="E17" s="19"/>
      <c r="F17" s="18"/>
      <c r="G17" s="67"/>
      <c r="H17" s="30">
        <f>IF(ISBLANK(G17),0,G17*C17)+IF(ISBLANK(F17),0,F17*objecturen2_1)</f>
        <v>0</v>
      </c>
      <c r="I17" s="30">
        <f>IF(C17=0,0,H17/C17)</f>
        <v>0</v>
      </c>
      <c r="J17" s="33">
        <f>IF(ISBLANK(E17),0,ROUND(E17,2)*H17)</f>
        <v>0</v>
      </c>
      <c r="K17" s="33">
        <f>J17/12</f>
        <v>0</v>
      </c>
    </row>
    <row r="18" spans="1:11" x14ac:dyDescent="0.2">
      <c r="A18" s="20"/>
      <c r="B18" s="20"/>
      <c r="C18" s="68">
        <f>dagenperjaar1</f>
        <v>210</v>
      </c>
      <c r="D18" s="69" t="s">
        <v>334</v>
      </c>
      <c r="E18" s="24"/>
      <c r="F18" s="23"/>
      <c r="G18" s="70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0"/>
      <c r="B19" s="20"/>
      <c r="C19" s="68">
        <f>dagenperjaar1</f>
        <v>210</v>
      </c>
      <c r="D19" s="69" t="s">
        <v>334</v>
      </c>
      <c r="E19" s="24"/>
      <c r="F19" s="23"/>
      <c r="G19" s="70"/>
      <c r="H19" s="34">
        <f>IF(ISBLANK(G19),0,G19*C19)+IF(ISBLANK(F19),0,F19*objecturen2_1)</f>
        <v>0</v>
      </c>
      <c r="I19" s="34">
        <f>IF(C19=0,0,H19/C19)</f>
        <v>0</v>
      </c>
      <c r="J19" s="37">
        <f>IF(ISBLANK(E19),0,ROUND(E19,2)*H19)</f>
        <v>0</v>
      </c>
      <c r="K19" s="37">
        <f>J19/12</f>
        <v>0</v>
      </c>
    </row>
    <row r="20" spans="1:11" x14ac:dyDescent="0.2">
      <c r="A20" s="20"/>
      <c r="B20" s="20"/>
      <c r="C20" s="68">
        <f>dagenperjaar1</f>
        <v>210</v>
      </c>
      <c r="D20" s="69" t="s">
        <v>335</v>
      </c>
      <c r="E20" s="24"/>
      <c r="F20" s="71"/>
      <c r="G20" s="22"/>
      <c r="H20" s="34">
        <f>IF(ISBLANK(G20),0,G20*C20)+IF(ISBLANK(F20),0,F20*objecturen2_1)</f>
        <v>0</v>
      </c>
      <c r="I20" s="34">
        <f>IF(C20=0,0,H20/C20)</f>
        <v>0</v>
      </c>
      <c r="J20" s="37">
        <f>IF(ISBLANK(E20),0,ROUND(E20,2)*H20)</f>
        <v>0</v>
      </c>
      <c r="K20" s="37">
        <f>J20/12</f>
        <v>0</v>
      </c>
    </row>
    <row r="21" spans="1:11" x14ac:dyDescent="0.2">
      <c r="A21" s="25"/>
      <c r="B21" s="25"/>
      <c r="C21" s="72">
        <f>dagenperjaar1</f>
        <v>210</v>
      </c>
      <c r="D21" s="73" t="s">
        <v>335</v>
      </c>
      <c r="E21" s="29"/>
      <c r="F21" s="74"/>
      <c r="G21" s="27"/>
      <c r="H21" s="39">
        <f>IF(ISBLANK(G21),0,G21*C21)+IF(ISBLANK(F21),0,F21*objecturen2_1)</f>
        <v>0</v>
      </c>
      <c r="I21" s="39">
        <f>IF(C21=0,0,H21/C21)</f>
        <v>0</v>
      </c>
      <c r="J21" s="41">
        <f>IF(ISBLANK(E21),0,ROUND(E21,2)*H21)</f>
        <v>0</v>
      </c>
      <c r="K21" s="41">
        <f>J21/12</f>
        <v>0</v>
      </c>
    </row>
    <row r="22" spans="1:11" x14ac:dyDescent="0.2">
      <c r="A22" s="75" t="s">
        <v>338</v>
      </c>
      <c r="B22" s="43"/>
      <c r="C22" s="43"/>
      <c r="D22" s="43"/>
      <c r="E22" s="43"/>
      <c r="F22" s="43"/>
      <c r="G22" s="43"/>
      <c r="H22" s="44">
        <f>SUM(H17:H21)</f>
        <v>0</v>
      </c>
      <c r="I22" s="43"/>
      <c r="J22" s="45">
        <f>SUM(J17:J21)</f>
        <v>0</v>
      </c>
      <c r="K22" s="46">
        <f>SUM(K17:K21)</f>
        <v>0</v>
      </c>
    </row>
    <row r="23" spans="1:11" x14ac:dyDescent="0.2">
      <c r="A23" s="47"/>
      <c r="B23" s="43"/>
      <c r="C23" s="43"/>
      <c r="D23" s="43"/>
      <c r="E23" s="43"/>
      <c r="F23" s="43"/>
      <c r="G23" s="43"/>
      <c r="H23" s="43"/>
      <c r="I23" s="43"/>
      <c r="J23" s="43"/>
      <c r="K23" s="48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66" t="s">
        <v>339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332</v>
      </c>
      <c r="B26" s="15" t="s">
        <v>12</v>
      </c>
      <c r="C26" s="16">
        <f>IF(ISBLANK(B26),0,IF(ISERROR(VALUE(B26)),VLOOKUP(B26,dagsoorttabel1,2,FALSE)*dagenperjaar1,VALUE(B26)))</f>
        <v>210</v>
      </c>
      <c r="D26" s="15" t="s">
        <v>333</v>
      </c>
      <c r="E26" s="19"/>
      <c r="F26" s="18"/>
      <c r="G26" s="67"/>
      <c r="H26" s="30">
        <f>IF(ISBLANK(G26),0,G26*C26)+IF(ISBLANK(F26),0,F26*objecturen3_1)</f>
        <v>0</v>
      </c>
      <c r="I26" s="30">
        <f>IF(C26=0,0,H26/C26)</f>
        <v>0</v>
      </c>
      <c r="J26" s="33">
        <f>IF(ISBLANK(E26),0,ROUND(E26,2)*H26)</f>
        <v>0</v>
      </c>
      <c r="K26" s="33">
        <f>J26/12</f>
        <v>0</v>
      </c>
    </row>
    <row r="27" spans="1:11" x14ac:dyDescent="0.2">
      <c r="A27" s="20"/>
      <c r="B27" s="20"/>
      <c r="C27" s="68">
        <f>dagenperjaar1</f>
        <v>210</v>
      </c>
      <c r="D27" s="69" t="s">
        <v>334</v>
      </c>
      <c r="E27" s="24"/>
      <c r="F27" s="23"/>
      <c r="G27" s="70"/>
      <c r="H27" s="34">
        <f>IF(ISBLANK(G27),0,G27*C27)+IF(ISBLANK(F27),0,F27*objecturen3_1)</f>
        <v>0</v>
      </c>
      <c r="I27" s="34">
        <f>IF(C27=0,0,H27/C27)</f>
        <v>0</v>
      </c>
      <c r="J27" s="37">
        <f>IF(ISBLANK(E27),0,ROUND(E27,2)*H27)</f>
        <v>0</v>
      </c>
      <c r="K27" s="37">
        <f>J27/12</f>
        <v>0</v>
      </c>
    </row>
    <row r="28" spans="1:11" x14ac:dyDescent="0.2">
      <c r="A28" s="20"/>
      <c r="B28" s="20"/>
      <c r="C28" s="68">
        <f>dagenperjaar1</f>
        <v>210</v>
      </c>
      <c r="D28" s="69" t="s">
        <v>334</v>
      </c>
      <c r="E28" s="24"/>
      <c r="F28" s="23"/>
      <c r="G28" s="70"/>
      <c r="H28" s="34">
        <f>IF(ISBLANK(G28),0,G28*C28)+IF(ISBLANK(F28),0,F28*objecturen3_1)</f>
        <v>0</v>
      </c>
      <c r="I28" s="34">
        <f>IF(C28=0,0,H28/C28)</f>
        <v>0</v>
      </c>
      <c r="J28" s="37">
        <f>IF(ISBLANK(E28),0,ROUND(E28,2)*H28)</f>
        <v>0</v>
      </c>
      <c r="K28" s="37">
        <f>J28/12</f>
        <v>0</v>
      </c>
    </row>
    <row r="29" spans="1:11" x14ac:dyDescent="0.2">
      <c r="A29" s="20"/>
      <c r="B29" s="20"/>
      <c r="C29" s="68">
        <f>dagenperjaar1</f>
        <v>210</v>
      </c>
      <c r="D29" s="69" t="s">
        <v>335</v>
      </c>
      <c r="E29" s="24"/>
      <c r="F29" s="71"/>
      <c r="G29" s="22"/>
      <c r="H29" s="34">
        <f>IF(ISBLANK(G29),0,G29*C29)+IF(ISBLANK(F29),0,F29*objecturen3_1)</f>
        <v>0</v>
      </c>
      <c r="I29" s="34">
        <f>IF(C29=0,0,H29/C29)</f>
        <v>0</v>
      </c>
      <c r="J29" s="37">
        <f>IF(ISBLANK(E29),0,ROUND(E29,2)*H29)</f>
        <v>0</v>
      </c>
      <c r="K29" s="37">
        <f>J29/12</f>
        <v>0</v>
      </c>
    </row>
    <row r="30" spans="1:11" x14ac:dyDescent="0.2">
      <c r="A30" s="25"/>
      <c r="B30" s="25"/>
      <c r="C30" s="72">
        <f>dagenperjaar1</f>
        <v>210</v>
      </c>
      <c r="D30" s="73" t="s">
        <v>335</v>
      </c>
      <c r="E30" s="29"/>
      <c r="F30" s="74"/>
      <c r="G30" s="27"/>
      <c r="H30" s="39">
        <f>IF(ISBLANK(G30),0,G30*C30)+IF(ISBLANK(F30),0,F30*objecturen3_1)</f>
        <v>0</v>
      </c>
      <c r="I30" s="39">
        <f>IF(C30=0,0,H30/C30)</f>
        <v>0</v>
      </c>
      <c r="J30" s="41">
        <f>IF(ISBLANK(E30),0,ROUND(E30,2)*H30)</f>
        <v>0</v>
      </c>
      <c r="K30" s="41">
        <f>J30/12</f>
        <v>0</v>
      </c>
    </row>
    <row r="31" spans="1:11" x14ac:dyDescent="0.2">
      <c r="A31" s="75" t="s">
        <v>340</v>
      </c>
      <c r="B31" s="43"/>
      <c r="C31" s="43"/>
      <c r="D31" s="43"/>
      <c r="E31" s="43"/>
      <c r="F31" s="43"/>
      <c r="G31" s="43"/>
      <c r="H31" s="44">
        <f>SUM(H26:H30)</f>
        <v>0</v>
      </c>
      <c r="I31" s="43"/>
      <c r="J31" s="45">
        <f>SUM(J26:J30)</f>
        <v>0</v>
      </c>
      <c r="K31" s="46">
        <f>SUM(K26:K30)</f>
        <v>0</v>
      </c>
    </row>
    <row r="32" spans="1:11" x14ac:dyDescent="0.2">
      <c r="A32" s="47"/>
      <c r="B32" s="43"/>
      <c r="C32" s="43"/>
      <c r="D32" s="43"/>
      <c r="E32" s="43"/>
      <c r="F32" s="43"/>
      <c r="G32" s="43"/>
      <c r="H32" s="43"/>
      <c r="I32" s="43"/>
      <c r="J32" s="43"/>
      <c r="K32" s="48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66" t="s">
        <v>341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332</v>
      </c>
      <c r="B35" s="15" t="s">
        <v>12</v>
      </c>
      <c r="C35" s="16">
        <f>IF(ISBLANK(B35),0,IF(ISERROR(VALUE(B35)),VLOOKUP(B35,dagsoorttabel1,2,FALSE)*dagenperjaar1,VALUE(B35)))</f>
        <v>210</v>
      </c>
      <c r="D35" s="15" t="s">
        <v>333</v>
      </c>
      <c r="E35" s="19"/>
      <c r="F35" s="18"/>
      <c r="G35" s="67"/>
      <c r="H35" s="30">
        <f>IF(ISBLANK(G35),0,G35*C35)+IF(ISBLANK(F35),0,F35*objecturen4_1)</f>
        <v>0</v>
      </c>
      <c r="I35" s="30">
        <f>IF(C35=0,0,H35/C35)</f>
        <v>0</v>
      </c>
      <c r="J35" s="33">
        <f>IF(ISBLANK(E35),0,ROUND(E35,2)*H35)</f>
        <v>0</v>
      </c>
      <c r="K35" s="33">
        <f>J35/12</f>
        <v>0</v>
      </c>
    </row>
    <row r="36" spans="1:11" x14ac:dyDescent="0.2">
      <c r="A36" s="20"/>
      <c r="B36" s="20"/>
      <c r="C36" s="68">
        <f>dagenperjaar1</f>
        <v>210</v>
      </c>
      <c r="D36" s="69" t="s">
        <v>334</v>
      </c>
      <c r="E36" s="24"/>
      <c r="F36" s="23"/>
      <c r="G36" s="70"/>
      <c r="H36" s="34">
        <f>IF(ISBLANK(G36),0,G36*C36)+IF(ISBLANK(F36),0,F36*objecturen4_1)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68">
        <f>dagenperjaar1</f>
        <v>210</v>
      </c>
      <c r="D37" s="69" t="s">
        <v>334</v>
      </c>
      <c r="E37" s="24"/>
      <c r="F37" s="23"/>
      <c r="G37" s="70"/>
      <c r="H37" s="34">
        <f>IF(ISBLANK(G37),0,G37*C37)+IF(ISBLANK(F37),0,F37*objecturen4_1)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0"/>
      <c r="B38" s="20"/>
      <c r="C38" s="68">
        <f>dagenperjaar1</f>
        <v>210</v>
      </c>
      <c r="D38" s="69" t="s">
        <v>335</v>
      </c>
      <c r="E38" s="24"/>
      <c r="F38" s="71"/>
      <c r="G38" s="22"/>
      <c r="H38" s="34">
        <f>IF(ISBLANK(G38),0,G38*C38)+IF(ISBLANK(F38),0,F38*objecturen4_1)</f>
        <v>0</v>
      </c>
      <c r="I38" s="34">
        <f>IF(C38=0,0,H38/C38)</f>
        <v>0</v>
      </c>
      <c r="J38" s="37">
        <f>IF(ISBLANK(E38),0,ROUND(E38,2)*H38)</f>
        <v>0</v>
      </c>
      <c r="K38" s="37">
        <f>J38/12</f>
        <v>0</v>
      </c>
    </row>
    <row r="39" spans="1:11" x14ac:dyDescent="0.2">
      <c r="A39" s="25"/>
      <c r="B39" s="25"/>
      <c r="C39" s="72">
        <f>dagenperjaar1</f>
        <v>210</v>
      </c>
      <c r="D39" s="73" t="s">
        <v>335</v>
      </c>
      <c r="E39" s="29"/>
      <c r="F39" s="74"/>
      <c r="G39" s="27"/>
      <c r="H39" s="39">
        <f>IF(ISBLANK(G39),0,G39*C39)+IF(ISBLANK(F39),0,F39*objecturen4_1)</f>
        <v>0</v>
      </c>
      <c r="I39" s="39">
        <f>IF(C39=0,0,H39/C39)</f>
        <v>0</v>
      </c>
      <c r="J39" s="41">
        <f>IF(ISBLANK(E39),0,ROUND(E39,2)*H39)</f>
        <v>0</v>
      </c>
      <c r="K39" s="41">
        <f>J39/12</f>
        <v>0</v>
      </c>
    </row>
    <row r="40" spans="1:11" x14ac:dyDescent="0.2">
      <c r="A40" s="75" t="s">
        <v>342</v>
      </c>
      <c r="B40" s="43"/>
      <c r="C40" s="43"/>
      <c r="D40" s="43"/>
      <c r="E40" s="43"/>
      <c r="F40" s="43"/>
      <c r="G40" s="43"/>
      <c r="H40" s="44">
        <f>SUM(H35:H39)</f>
        <v>0</v>
      </c>
      <c r="I40" s="43"/>
      <c r="J40" s="45">
        <f>SUM(J35:J39)</f>
        <v>0</v>
      </c>
      <c r="K40" s="46">
        <f>SUM(K35:K39)</f>
        <v>0</v>
      </c>
    </row>
    <row r="41" spans="1:11" x14ac:dyDescent="0.2">
      <c r="A41" s="47"/>
      <c r="B41" s="43"/>
      <c r="C41" s="43"/>
      <c r="D41" s="43"/>
      <c r="E41" s="43"/>
      <c r="F41" s="43"/>
      <c r="G41" s="43"/>
      <c r="H41" s="43"/>
      <c r="I41" s="43"/>
      <c r="J41" s="43"/>
      <c r="K41" s="48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66" t="s">
        <v>343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332</v>
      </c>
      <c r="B44" s="15" t="s">
        <v>12</v>
      </c>
      <c r="C44" s="16">
        <f>IF(ISBLANK(B44),0,IF(ISERROR(VALUE(B44)),VLOOKUP(B44,dagsoorttabel1,2,FALSE)*dagenperjaar1,VALUE(B44)))</f>
        <v>210</v>
      </c>
      <c r="D44" s="15" t="s">
        <v>333</v>
      </c>
      <c r="E44" s="19"/>
      <c r="F44" s="18"/>
      <c r="G44" s="67"/>
      <c r="H44" s="30">
        <f>IF(ISBLANK(G44),0,G44*C44)+IF(ISBLANK(F44),0,F44*objecturen5_1)</f>
        <v>0</v>
      </c>
      <c r="I44" s="30">
        <f>IF(C44=0,0,H44/C44)</f>
        <v>0</v>
      </c>
      <c r="J44" s="33">
        <f>IF(ISBLANK(E44),0,ROUND(E44,2)*H44)</f>
        <v>0</v>
      </c>
      <c r="K44" s="33">
        <f>J44/12</f>
        <v>0</v>
      </c>
    </row>
    <row r="45" spans="1:11" x14ac:dyDescent="0.2">
      <c r="A45" s="20"/>
      <c r="B45" s="20"/>
      <c r="C45" s="68">
        <f>dagenperjaar1</f>
        <v>210</v>
      </c>
      <c r="D45" s="69" t="s">
        <v>334</v>
      </c>
      <c r="E45" s="24"/>
      <c r="F45" s="23"/>
      <c r="G45" s="70"/>
      <c r="H45" s="34">
        <f>IF(ISBLANK(G45),0,G45*C45)+IF(ISBLANK(F45),0,F45*objecturen5_1)</f>
        <v>0</v>
      </c>
      <c r="I45" s="34">
        <f>IF(C45=0,0,H45/C45)</f>
        <v>0</v>
      </c>
      <c r="J45" s="37">
        <f>IF(ISBLANK(E45),0,ROUND(E45,2)*H45)</f>
        <v>0</v>
      </c>
      <c r="K45" s="37">
        <f>J45/12</f>
        <v>0</v>
      </c>
    </row>
    <row r="46" spans="1:11" x14ac:dyDescent="0.2">
      <c r="A46" s="20"/>
      <c r="B46" s="20"/>
      <c r="C46" s="68">
        <f>dagenperjaar1</f>
        <v>210</v>
      </c>
      <c r="D46" s="69" t="s">
        <v>334</v>
      </c>
      <c r="E46" s="24"/>
      <c r="F46" s="23"/>
      <c r="G46" s="70"/>
      <c r="H46" s="34">
        <f>IF(ISBLANK(G46),0,G46*C46)+IF(ISBLANK(F46),0,F46*objecturen5_1)</f>
        <v>0</v>
      </c>
      <c r="I46" s="34">
        <f>IF(C46=0,0,H46/C46)</f>
        <v>0</v>
      </c>
      <c r="J46" s="37">
        <f>IF(ISBLANK(E46),0,ROUND(E46,2)*H46)</f>
        <v>0</v>
      </c>
      <c r="K46" s="37">
        <f>J46/12</f>
        <v>0</v>
      </c>
    </row>
    <row r="47" spans="1:11" x14ac:dyDescent="0.2">
      <c r="A47" s="20"/>
      <c r="B47" s="20"/>
      <c r="C47" s="68">
        <f>dagenperjaar1</f>
        <v>210</v>
      </c>
      <c r="D47" s="69" t="s">
        <v>335</v>
      </c>
      <c r="E47" s="24"/>
      <c r="F47" s="71"/>
      <c r="G47" s="22"/>
      <c r="H47" s="34">
        <f>IF(ISBLANK(G47),0,G47*C47)+IF(ISBLANK(F47),0,F47*objecturen5_1)</f>
        <v>0</v>
      </c>
      <c r="I47" s="34">
        <f>IF(C47=0,0,H47/C47)</f>
        <v>0</v>
      </c>
      <c r="J47" s="37">
        <f>IF(ISBLANK(E47),0,ROUND(E47,2)*H47)</f>
        <v>0</v>
      </c>
      <c r="K47" s="37">
        <f>J47/12</f>
        <v>0</v>
      </c>
    </row>
    <row r="48" spans="1:11" x14ac:dyDescent="0.2">
      <c r="A48" s="25"/>
      <c r="B48" s="25"/>
      <c r="C48" s="72">
        <f>dagenperjaar1</f>
        <v>210</v>
      </c>
      <c r="D48" s="73" t="s">
        <v>335</v>
      </c>
      <c r="E48" s="29"/>
      <c r="F48" s="74"/>
      <c r="G48" s="27"/>
      <c r="H48" s="39">
        <f>IF(ISBLANK(G48),0,G48*C48)+IF(ISBLANK(F48),0,F48*objecturen5_1)</f>
        <v>0</v>
      </c>
      <c r="I48" s="39">
        <f>IF(C48=0,0,H48/C48)</f>
        <v>0</v>
      </c>
      <c r="J48" s="41">
        <f>IF(ISBLANK(E48),0,ROUND(E48,2)*H48)</f>
        <v>0</v>
      </c>
      <c r="K48" s="41">
        <f>J48/12</f>
        <v>0</v>
      </c>
    </row>
    <row r="49" spans="1:11" x14ac:dyDescent="0.2">
      <c r="A49" s="75" t="s">
        <v>344</v>
      </c>
      <c r="B49" s="43"/>
      <c r="C49" s="43"/>
      <c r="D49" s="43"/>
      <c r="E49" s="43"/>
      <c r="F49" s="43"/>
      <c r="G49" s="43"/>
      <c r="H49" s="44">
        <f>SUM(H44:H48)</f>
        <v>0</v>
      </c>
      <c r="I49" s="43"/>
      <c r="J49" s="45">
        <f>SUM(J44:J48)</f>
        <v>0</v>
      </c>
      <c r="K49" s="46">
        <f>SUM(K44:K48)</f>
        <v>0</v>
      </c>
    </row>
    <row r="50" spans="1:11" x14ac:dyDescent="0.2">
      <c r="A50" s="47"/>
      <c r="B50" s="43"/>
      <c r="C50" s="43"/>
      <c r="D50" s="43"/>
      <c r="E50" s="43"/>
      <c r="F50" s="43"/>
      <c r="G50" s="43"/>
      <c r="H50" s="43"/>
      <c r="I50" s="43"/>
      <c r="J50" s="43"/>
      <c r="K50" s="48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66" t="s">
        <v>345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332</v>
      </c>
      <c r="B53" s="15" t="s">
        <v>12</v>
      </c>
      <c r="C53" s="16">
        <f>IF(ISBLANK(B53),0,IF(ISERROR(VALUE(B53)),VLOOKUP(B53,dagsoorttabel1,2,FALSE)*dagenperjaar1,VALUE(B53)))</f>
        <v>210</v>
      </c>
      <c r="D53" s="15" t="s">
        <v>333</v>
      </c>
      <c r="E53" s="19"/>
      <c r="F53" s="18"/>
      <c r="G53" s="67"/>
      <c r="H53" s="30">
        <f>IF(ISBLANK(G53),0,G53*C53)+IF(ISBLANK(F53),0,F53*objecturen6_1)</f>
        <v>0</v>
      </c>
      <c r="I53" s="30">
        <f>IF(C53=0,0,H53/C53)</f>
        <v>0</v>
      </c>
      <c r="J53" s="33">
        <f>IF(ISBLANK(E53),0,ROUND(E53,2)*H53)</f>
        <v>0</v>
      </c>
      <c r="K53" s="33">
        <f>J53/12</f>
        <v>0</v>
      </c>
    </row>
    <row r="54" spans="1:11" x14ac:dyDescent="0.2">
      <c r="A54" s="20"/>
      <c r="B54" s="20"/>
      <c r="C54" s="68">
        <f>dagenperjaar1</f>
        <v>210</v>
      </c>
      <c r="D54" s="69" t="s">
        <v>334</v>
      </c>
      <c r="E54" s="24"/>
      <c r="F54" s="23"/>
      <c r="G54" s="70"/>
      <c r="H54" s="34">
        <f>IF(ISBLANK(G54),0,G54*C54)+IF(ISBLANK(F54),0,F54*objecturen6_1)</f>
        <v>0</v>
      </c>
      <c r="I54" s="34">
        <f>IF(C54=0,0,H54/C54)</f>
        <v>0</v>
      </c>
      <c r="J54" s="37">
        <f>IF(ISBLANK(E54),0,ROUND(E54,2)*H54)</f>
        <v>0</v>
      </c>
      <c r="K54" s="37">
        <f>J54/12</f>
        <v>0</v>
      </c>
    </row>
    <row r="55" spans="1:11" x14ac:dyDescent="0.2">
      <c r="A55" s="20"/>
      <c r="B55" s="20"/>
      <c r="C55" s="68">
        <f>dagenperjaar1</f>
        <v>210</v>
      </c>
      <c r="D55" s="69" t="s">
        <v>334</v>
      </c>
      <c r="E55" s="24"/>
      <c r="F55" s="23"/>
      <c r="G55" s="70"/>
      <c r="H55" s="34">
        <f>IF(ISBLANK(G55),0,G55*C55)+IF(ISBLANK(F55),0,F55*objecturen6_1)</f>
        <v>0</v>
      </c>
      <c r="I55" s="34">
        <f>IF(C55=0,0,H55/C55)</f>
        <v>0</v>
      </c>
      <c r="J55" s="37">
        <f>IF(ISBLANK(E55),0,ROUND(E55,2)*H55)</f>
        <v>0</v>
      </c>
      <c r="K55" s="37">
        <f>J55/12</f>
        <v>0</v>
      </c>
    </row>
    <row r="56" spans="1:11" x14ac:dyDescent="0.2">
      <c r="A56" s="20"/>
      <c r="B56" s="20"/>
      <c r="C56" s="68">
        <f>dagenperjaar1</f>
        <v>210</v>
      </c>
      <c r="D56" s="69" t="s">
        <v>335</v>
      </c>
      <c r="E56" s="24"/>
      <c r="F56" s="71"/>
      <c r="G56" s="22"/>
      <c r="H56" s="34">
        <f>IF(ISBLANK(G56),0,G56*C56)+IF(ISBLANK(F56),0,F56*objecturen6_1)</f>
        <v>0</v>
      </c>
      <c r="I56" s="34">
        <f>IF(C56=0,0,H56/C56)</f>
        <v>0</v>
      </c>
      <c r="J56" s="37">
        <f>IF(ISBLANK(E56),0,ROUND(E56,2)*H56)</f>
        <v>0</v>
      </c>
      <c r="K56" s="37">
        <f>J56/12</f>
        <v>0</v>
      </c>
    </row>
    <row r="57" spans="1:11" x14ac:dyDescent="0.2">
      <c r="A57" s="25"/>
      <c r="B57" s="25"/>
      <c r="C57" s="72">
        <f>dagenperjaar1</f>
        <v>210</v>
      </c>
      <c r="D57" s="73" t="s">
        <v>335</v>
      </c>
      <c r="E57" s="29"/>
      <c r="F57" s="74"/>
      <c r="G57" s="27"/>
      <c r="H57" s="39">
        <f>IF(ISBLANK(G57),0,G57*C57)+IF(ISBLANK(F57),0,F57*objecturen6_1)</f>
        <v>0</v>
      </c>
      <c r="I57" s="39">
        <f>IF(C57=0,0,H57/C57)</f>
        <v>0</v>
      </c>
      <c r="J57" s="41">
        <f>IF(ISBLANK(E57),0,ROUND(E57,2)*H57)</f>
        <v>0</v>
      </c>
      <c r="K57" s="41">
        <f>J57/12</f>
        <v>0</v>
      </c>
    </row>
    <row r="58" spans="1:11" x14ac:dyDescent="0.2">
      <c r="A58" s="75" t="s">
        <v>346</v>
      </c>
      <c r="B58" s="43"/>
      <c r="C58" s="43"/>
      <c r="D58" s="43"/>
      <c r="E58" s="43"/>
      <c r="F58" s="43"/>
      <c r="G58" s="43"/>
      <c r="H58" s="44">
        <f>SUM(H53:H57)</f>
        <v>0</v>
      </c>
      <c r="I58" s="43"/>
      <c r="J58" s="45">
        <f>SUM(J53:J57)</f>
        <v>0</v>
      </c>
      <c r="K58" s="46">
        <f>SUM(K53:K57)</f>
        <v>0</v>
      </c>
    </row>
    <row r="59" spans="1:11" x14ac:dyDescent="0.2">
      <c r="A59" s="47"/>
      <c r="B59" s="43"/>
      <c r="C59" s="43"/>
      <c r="D59" s="43"/>
      <c r="E59" s="43"/>
      <c r="F59" s="43"/>
      <c r="G59" s="43"/>
      <c r="H59" s="43"/>
      <c r="I59" s="43"/>
      <c r="J59" s="43"/>
      <c r="K59" s="48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66" t="s">
        <v>347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332</v>
      </c>
      <c r="B62" s="15" t="s">
        <v>12</v>
      </c>
      <c r="C62" s="16">
        <f>IF(ISBLANK(B62),0,IF(ISERROR(VALUE(B62)),VLOOKUP(B62,dagsoorttabel1,2,FALSE)*dagenperjaar1,VALUE(B62)))</f>
        <v>210</v>
      </c>
      <c r="D62" s="15" t="s">
        <v>333</v>
      </c>
      <c r="E62" s="19"/>
      <c r="F62" s="18"/>
      <c r="G62" s="67"/>
      <c r="H62" s="30">
        <f>IF(ISBLANK(G62),0,G62*C62)+IF(ISBLANK(F62),0,F62*objecturen7_1)</f>
        <v>0</v>
      </c>
      <c r="I62" s="30">
        <f>IF(C62=0,0,H62/C62)</f>
        <v>0</v>
      </c>
      <c r="J62" s="33">
        <f>IF(ISBLANK(E62),0,ROUND(E62,2)*H62)</f>
        <v>0</v>
      </c>
      <c r="K62" s="33">
        <f>J62/12</f>
        <v>0</v>
      </c>
    </row>
    <row r="63" spans="1:11" x14ac:dyDescent="0.2">
      <c r="A63" s="20"/>
      <c r="B63" s="20"/>
      <c r="C63" s="68">
        <f>dagenperjaar1</f>
        <v>210</v>
      </c>
      <c r="D63" s="69" t="s">
        <v>334</v>
      </c>
      <c r="E63" s="24"/>
      <c r="F63" s="23"/>
      <c r="G63" s="70"/>
      <c r="H63" s="34">
        <f>IF(ISBLANK(G63),0,G63*C63)+IF(ISBLANK(F63),0,F63*objecturen7_1)</f>
        <v>0</v>
      </c>
      <c r="I63" s="34">
        <f>IF(C63=0,0,H63/C63)</f>
        <v>0</v>
      </c>
      <c r="J63" s="37">
        <f>IF(ISBLANK(E63),0,ROUND(E63,2)*H63)</f>
        <v>0</v>
      </c>
      <c r="K63" s="37">
        <f>J63/12</f>
        <v>0</v>
      </c>
    </row>
    <row r="64" spans="1:11" x14ac:dyDescent="0.2">
      <c r="A64" s="20"/>
      <c r="B64" s="20"/>
      <c r="C64" s="68">
        <f>dagenperjaar1</f>
        <v>210</v>
      </c>
      <c r="D64" s="69" t="s">
        <v>334</v>
      </c>
      <c r="E64" s="24"/>
      <c r="F64" s="23"/>
      <c r="G64" s="70"/>
      <c r="H64" s="34">
        <f>IF(ISBLANK(G64),0,G64*C64)+IF(ISBLANK(F64),0,F64*objecturen7_1)</f>
        <v>0</v>
      </c>
      <c r="I64" s="34">
        <f>IF(C64=0,0,H64/C64)</f>
        <v>0</v>
      </c>
      <c r="J64" s="37">
        <f>IF(ISBLANK(E64),0,ROUND(E64,2)*H64)</f>
        <v>0</v>
      </c>
      <c r="K64" s="37">
        <f>J64/12</f>
        <v>0</v>
      </c>
    </row>
    <row r="65" spans="1:11" x14ac:dyDescent="0.2">
      <c r="A65" s="20"/>
      <c r="B65" s="20"/>
      <c r="C65" s="68">
        <f>dagenperjaar1</f>
        <v>210</v>
      </c>
      <c r="D65" s="69" t="s">
        <v>335</v>
      </c>
      <c r="E65" s="24"/>
      <c r="F65" s="71"/>
      <c r="G65" s="22"/>
      <c r="H65" s="34">
        <f>IF(ISBLANK(G65),0,G65*C65)+IF(ISBLANK(F65),0,F65*objecturen7_1)</f>
        <v>0</v>
      </c>
      <c r="I65" s="34">
        <f>IF(C65=0,0,H65/C65)</f>
        <v>0</v>
      </c>
      <c r="J65" s="37">
        <f>IF(ISBLANK(E65),0,ROUND(E65,2)*H65)</f>
        <v>0</v>
      </c>
      <c r="K65" s="37">
        <f>J65/12</f>
        <v>0</v>
      </c>
    </row>
    <row r="66" spans="1:11" x14ac:dyDescent="0.2">
      <c r="A66" s="25"/>
      <c r="B66" s="25"/>
      <c r="C66" s="72">
        <f>dagenperjaar1</f>
        <v>210</v>
      </c>
      <c r="D66" s="73" t="s">
        <v>335</v>
      </c>
      <c r="E66" s="29"/>
      <c r="F66" s="74"/>
      <c r="G66" s="27"/>
      <c r="H66" s="39">
        <f>IF(ISBLANK(G66),0,G66*C66)+IF(ISBLANK(F66),0,F66*objecturen7_1)</f>
        <v>0</v>
      </c>
      <c r="I66" s="39">
        <f>IF(C66=0,0,H66/C66)</f>
        <v>0</v>
      </c>
      <c r="J66" s="41">
        <f>IF(ISBLANK(E66),0,ROUND(E66,2)*H66)</f>
        <v>0</v>
      </c>
      <c r="K66" s="41">
        <f>J66/12</f>
        <v>0</v>
      </c>
    </row>
    <row r="67" spans="1:11" x14ac:dyDescent="0.2">
      <c r="A67" s="75" t="s">
        <v>348</v>
      </c>
      <c r="B67" s="43"/>
      <c r="C67" s="43"/>
      <c r="D67" s="43"/>
      <c r="E67" s="43"/>
      <c r="F67" s="43"/>
      <c r="G67" s="43"/>
      <c r="H67" s="44">
        <f>SUM(H62:H66)</f>
        <v>0</v>
      </c>
      <c r="I67" s="43"/>
      <c r="J67" s="45">
        <f>SUM(J62:J66)</f>
        <v>0</v>
      </c>
      <c r="K67" s="46">
        <f>SUM(K62:K66)</f>
        <v>0</v>
      </c>
    </row>
    <row r="68" spans="1:11" x14ac:dyDescent="0.2">
      <c r="A68" s="47"/>
      <c r="B68" s="43"/>
      <c r="C68" s="43"/>
      <c r="D68" s="43"/>
      <c r="E68" s="43"/>
      <c r="F68" s="43"/>
      <c r="G68" s="43"/>
      <c r="H68" s="43"/>
      <c r="I68" s="43"/>
      <c r="J68" s="43"/>
      <c r="K68" s="48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66" t="s">
        <v>349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332</v>
      </c>
      <c r="B71" s="15" t="s">
        <v>12</v>
      </c>
      <c r="C71" s="16">
        <f>IF(ISBLANK(B71),0,IF(ISERROR(VALUE(B71)),VLOOKUP(B71,dagsoorttabel1,2,FALSE)*dagenperjaar1,VALUE(B71)))</f>
        <v>210</v>
      </c>
      <c r="D71" s="15" t="s">
        <v>333</v>
      </c>
      <c r="E71" s="19"/>
      <c r="F71" s="18"/>
      <c r="G71" s="67"/>
      <c r="H71" s="30">
        <f>IF(ISBLANK(G71),0,G71*C71)+IF(ISBLANK(F71),0,F71*objecturen8_1)</f>
        <v>0</v>
      </c>
      <c r="I71" s="30">
        <f>IF(C71=0,0,H71/C71)</f>
        <v>0</v>
      </c>
      <c r="J71" s="33">
        <f>IF(ISBLANK(E71),0,ROUND(E71,2)*H71)</f>
        <v>0</v>
      </c>
      <c r="K71" s="33">
        <f>J71/12</f>
        <v>0</v>
      </c>
    </row>
    <row r="72" spans="1:11" x14ac:dyDescent="0.2">
      <c r="A72" s="20"/>
      <c r="B72" s="20"/>
      <c r="C72" s="68">
        <f>dagenperjaar1</f>
        <v>210</v>
      </c>
      <c r="D72" s="69" t="s">
        <v>334</v>
      </c>
      <c r="E72" s="24"/>
      <c r="F72" s="23"/>
      <c r="G72" s="70"/>
      <c r="H72" s="34">
        <f>IF(ISBLANK(G72),0,G72*C72)+IF(ISBLANK(F72),0,F72*objecturen8_1)</f>
        <v>0</v>
      </c>
      <c r="I72" s="34">
        <f>IF(C72=0,0,H72/C72)</f>
        <v>0</v>
      </c>
      <c r="J72" s="37">
        <f>IF(ISBLANK(E72),0,ROUND(E72,2)*H72)</f>
        <v>0</v>
      </c>
      <c r="K72" s="37">
        <f>J72/12</f>
        <v>0</v>
      </c>
    </row>
    <row r="73" spans="1:11" x14ac:dyDescent="0.2">
      <c r="A73" s="20"/>
      <c r="B73" s="20"/>
      <c r="C73" s="68">
        <f>dagenperjaar1</f>
        <v>210</v>
      </c>
      <c r="D73" s="69" t="s">
        <v>334</v>
      </c>
      <c r="E73" s="24"/>
      <c r="F73" s="23"/>
      <c r="G73" s="70"/>
      <c r="H73" s="34">
        <f>IF(ISBLANK(G73),0,G73*C73)+IF(ISBLANK(F73),0,F73*objecturen8_1)</f>
        <v>0</v>
      </c>
      <c r="I73" s="34">
        <f>IF(C73=0,0,H73/C73)</f>
        <v>0</v>
      </c>
      <c r="J73" s="37">
        <f>IF(ISBLANK(E73),0,ROUND(E73,2)*H73)</f>
        <v>0</v>
      </c>
      <c r="K73" s="37">
        <f>J73/12</f>
        <v>0</v>
      </c>
    </row>
    <row r="74" spans="1:11" x14ac:dyDescent="0.2">
      <c r="A74" s="20"/>
      <c r="B74" s="20"/>
      <c r="C74" s="68">
        <f>dagenperjaar1</f>
        <v>210</v>
      </c>
      <c r="D74" s="69" t="s">
        <v>335</v>
      </c>
      <c r="E74" s="24"/>
      <c r="F74" s="71"/>
      <c r="G74" s="22"/>
      <c r="H74" s="34">
        <f>IF(ISBLANK(G74),0,G74*C74)+IF(ISBLANK(F74),0,F74*objecturen8_1)</f>
        <v>0</v>
      </c>
      <c r="I74" s="34">
        <f>IF(C74=0,0,H74/C74)</f>
        <v>0</v>
      </c>
      <c r="J74" s="37">
        <f>IF(ISBLANK(E74),0,ROUND(E74,2)*H74)</f>
        <v>0</v>
      </c>
      <c r="K74" s="37">
        <f>J74/12</f>
        <v>0</v>
      </c>
    </row>
    <row r="75" spans="1:11" x14ac:dyDescent="0.2">
      <c r="A75" s="25"/>
      <c r="B75" s="25"/>
      <c r="C75" s="72">
        <f>dagenperjaar1</f>
        <v>210</v>
      </c>
      <c r="D75" s="73" t="s">
        <v>335</v>
      </c>
      <c r="E75" s="29"/>
      <c r="F75" s="74"/>
      <c r="G75" s="27"/>
      <c r="H75" s="39">
        <f>IF(ISBLANK(G75),0,G75*C75)+IF(ISBLANK(F75),0,F75*objecturen8_1)</f>
        <v>0</v>
      </c>
      <c r="I75" s="39">
        <f>IF(C75=0,0,H75/C75)</f>
        <v>0</v>
      </c>
      <c r="J75" s="41">
        <f>IF(ISBLANK(E75),0,ROUND(E75,2)*H75)</f>
        <v>0</v>
      </c>
      <c r="K75" s="41">
        <f>J75/12</f>
        <v>0</v>
      </c>
    </row>
    <row r="76" spans="1:11" x14ac:dyDescent="0.2">
      <c r="A76" s="75" t="s">
        <v>350</v>
      </c>
      <c r="B76" s="43"/>
      <c r="C76" s="43"/>
      <c r="D76" s="43"/>
      <c r="E76" s="43"/>
      <c r="F76" s="43"/>
      <c r="G76" s="43"/>
      <c r="H76" s="44">
        <f>SUM(H71:H75)</f>
        <v>0</v>
      </c>
      <c r="I76" s="43"/>
      <c r="J76" s="45">
        <f>SUM(J71:J75)</f>
        <v>0</v>
      </c>
      <c r="K76" s="46">
        <f>SUM(K71:K75)</f>
        <v>0</v>
      </c>
    </row>
    <row r="77" spans="1:11" x14ac:dyDescent="0.2">
      <c r="A77" s="47"/>
      <c r="B77" s="43"/>
      <c r="C77" s="43"/>
      <c r="D77" s="43"/>
      <c r="E77" s="43"/>
      <c r="F77" s="43"/>
      <c r="G77" s="43"/>
      <c r="H77" s="43"/>
      <c r="I77" s="43"/>
      <c r="J77" s="43"/>
      <c r="K77" s="48"/>
    </row>
    <row r="78" spans="1:1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x14ac:dyDescent="0.2">
      <c r="A79" s="66" t="s">
        <v>351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1" x14ac:dyDescent="0.2">
      <c r="A80" s="15" t="s">
        <v>332</v>
      </c>
      <c r="B80" s="15" t="s">
        <v>12</v>
      </c>
      <c r="C80" s="16">
        <f>IF(ISBLANK(B80),0,IF(ISERROR(VALUE(B80)),VLOOKUP(B80,dagsoorttabel1,2,FALSE)*dagenperjaar1,VALUE(B80)))</f>
        <v>210</v>
      </c>
      <c r="D80" s="15" t="s">
        <v>333</v>
      </c>
      <c r="E80" s="19"/>
      <c r="F80" s="18"/>
      <c r="G80" s="67"/>
      <c r="H80" s="30">
        <f>IF(ISBLANK(G80),0,G80*C80)+IF(ISBLANK(F80),0,F80*objecturen9_1)</f>
        <v>0</v>
      </c>
      <c r="I80" s="30">
        <f>IF(C80=0,0,H80/C80)</f>
        <v>0</v>
      </c>
      <c r="J80" s="33">
        <f>IF(ISBLANK(E80),0,ROUND(E80,2)*H80)</f>
        <v>0</v>
      </c>
      <c r="K80" s="33">
        <f>J80/12</f>
        <v>0</v>
      </c>
    </row>
    <row r="81" spans="1:11" x14ac:dyDescent="0.2">
      <c r="A81" s="20"/>
      <c r="B81" s="20"/>
      <c r="C81" s="68">
        <f>dagenperjaar1</f>
        <v>210</v>
      </c>
      <c r="D81" s="69" t="s">
        <v>334</v>
      </c>
      <c r="E81" s="24"/>
      <c r="F81" s="23"/>
      <c r="G81" s="70"/>
      <c r="H81" s="34">
        <f>IF(ISBLANK(G81),0,G81*C81)+IF(ISBLANK(F81),0,F81*objecturen9_1)</f>
        <v>0</v>
      </c>
      <c r="I81" s="34">
        <f>IF(C81=0,0,H81/C81)</f>
        <v>0</v>
      </c>
      <c r="J81" s="37">
        <f>IF(ISBLANK(E81),0,ROUND(E81,2)*H81)</f>
        <v>0</v>
      </c>
      <c r="K81" s="37">
        <f>J81/12</f>
        <v>0</v>
      </c>
    </row>
    <row r="82" spans="1:11" x14ac:dyDescent="0.2">
      <c r="A82" s="20"/>
      <c r="B82" s="20"/>
      <c r="C82" s="68">
        <f>dagenperjaar1</f>
        <v>210</v>
      </c>
      <c r="D82" s="69" t="s">
        <v>334</v>
      </c>
      <c r="E82" s="24"/>
      <c r="F82" s="23"/>
      <c r="G82" s="70"/>
      <c r="H82" s="34">
        <f>IF(ISBLANK(G82),0,G82*C82)+IF(ISBLANK(F82),0,F82*objecturen9_1)</f>
        <v>0</v>
      </c>
      <c r="I82" s="34">
        <f>IF(C82=0,0,H82/C82)</f>
        <v>0</v>
      </c>
      <c r="J82" s="37">
        <f>IF(ISBLANK(E82),0,ROUND(E82,2)*H82)</f>
        <v>0</v>
      </c>
      <c r="K82" s="37">
        <f>J82/12</f>
        <v>0</v>
      </c>
    </row>
    <row r="83" spans="1:11" x14ac:dyDescent="0.2">
      <c r="A83" s="20"/>
      <c r="B83" s="20"/>
      <c r="C83" s="68">
        <f>dagenperjaar1</f>
        <v>210</v>
      </c>
      <c r="D83" s="69" t="s">
        <v>335</v>
      </c>
      <c r="E83" s="24"/>
      <c r="F83" s="71"/>
      <c r="G83" s="22"/>
      <c r="H83" s="34">
        <f>IF(ISBLANK(G83),0,G83*C83)+IF(ISBLANK(F83),0,F83*objecturen9_1)</f>
        <v>0</v>
      </c>
      <c r="I83" s="34">
        <f>IF(C83=0,0,H83/C83)</f>
        <v>0</v>
      </c>
      <c r="J83" s="37">
        <f>IF(ISBLANK(E83),0,ROUND(E83,2)*H83)</f>
        <v>0</v>
      </c>
      <c r="K83" s="37">
        <f>J83/12</f>
        <v>0</v>
      </c>
    </row>
    <row r="84" spans="1:11" x14ac:dyDescent="0.2">
      <c r="A84" s="25"/>
      <c r="B84" s="25"/>
      <c r="C84" s="72">
        <f>dagenperjaar1</f>
        <v>210</v>
      </c>
      <c r="D84" s="73" t="s">
        <v>335</v>
      </c>
      <c r="E84" s="29"/>
      <c r="F84" s="74"/>
      <c r="G84" s="27"/>
      <c r="H84" s="39">
        <f>IF(ISBLANK(G84),0,G84*C84)+IF(ISBLANK(F84),0,F84*objecturen9_1)</f>
        <v>0</v>
      </c>
      <c r="I84" s="39">
        <f>IF(C84=0,0,H84/C84)</f>
        <v>0</v>
      </c>
      <c r="J84" s="41">
        <f>IF(ISBLANK(E84),0,ROUND(E84,2)*H84)</f>
        <v>0</v>
      </c>
      <c r="K84" s="41">
        <f>J84/12</f>
        <v>0</v>
      </c>
    </row>
    <row r="85" spans="1:11" x14ac:dyDescent="0.2">
      <c r="A85" s="75" t="s">
        <v>352</v>
      </c>
      <c r="B85" s="43"/>
      <c r="C85" s="43"/>
      <c r="D85" s="43"/>
      <c r="E85" s="43"/>
      <c r="F85" s="43"/>
      <c r="G85" s="43"/>
      <c r="H85" s="44">
        <f>SUM(H80:H84)</f>
        <v>0</v>
      </c>
      <c r="I85" s="43"/>
      <c r="J85" s="45">
        <f>SUM(J80:J84)</f>
        <v>0</v>
      </c>
      <c r="K85" s="46">
        <f>SUM(K80:K84)</f>
        <v>0</v>
      </c>
    </row>
    <row r="86" spans="1:11" x14ac:dyDescent="0.2">
      <c r="A86" s="47"/>
      <c r="B86" s="43"/>
      <c r="C86" s="43"/>
      <c r="D86" s="43"/>
      <c r="E86" s="43"/>
      <c r="F86" s="43"/>
      <c r="G86" s="43"/>
      <c r="H86" s="43"/>
      <c r="I86" s="43"/>
      <c r="J86" s="43"/>
      <c r="K86" s="48"/>
    </row>
    <row r="87" spans="1:11" x14ac:dyDescent="0.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1"/>
    </row>
    <row r="88" spans="1:11" x14ac:dyDescent="0.2">
      <c r="A88" s="66" t="s">
        <v>353</v>
      </c>
      <c r="B88" s="13"/>
      <c r="C88" s="13"/>
      <c r="D88" s="13"/>
      <c r="E88" s="13"/>
      <c r="F88" s="13"/>
      <c r="G88" s="13"/>
      <c r="H88" s="13"/>
      <c r="I88" s="13"/>
      <c r="J88" s="13"/>
      <c r="K88" s="14"/>
    </row>
    <row r="89" spans="1:11" x14ac:dyDescent="0.2">
      <c r="A89" s="15" t="s">
        <v>332</v>
      </c>
      <c r="B89" s="15" t="s">
        <v>10</v>
      </c>
      <c r="C89" s="16">
        <f>IF(ISBLANK(B89),0,IF(ISERROR(VALUE(B89)),VLOOKUP(B89,dagsoorttabel1,2,FALSE)*dagenperjaar1,VALUE(B89)))</f>
        <v>240</v>
      </c>
      <c r="D89" s="15" t="s">
        <v>333</v>
      </c>
      <c r="E89" s="19"/>
      <c r="F89" s="18"/>
      <c r="G89" s="67"/>
      <c r="H89" s="30">
        <f>IF(ISBLANK(G89),0,G89*C89)+IF(ISBLANK(F89),0,F89*objecturen10_1)</f>
        <v>0</v>
      </c>
      <c r="I89" s="30">
        <f>IF(C89=0,0,H89/C89)</f>
        <v>0</v>
      </c>
      <c r="J89" s="33">
        <f>IF(ISBLANK(E89),0,ROUND(E89,2)*H89)</f>
        <v>0</v>
      </c>
      <c r="K89" s="33">
        <f>J89/12</f>
        <v>0</v>
      </c>
    </row>
    <row r="90" spans="1:11" x14ac:dyDescent="0.2">
      <c r="A90" s="20"/>
      <c r="B90" s="20"/>
      <c r="C90" s="68">
        <f>dagenperjaar1</f>
        <v>210</v>
      </c>
      <c r="D90" s="69" t="s">
        <v>334</v>
      </c>
      <c r="E90" s="24"/>
      <c r="F90" s="23"/>
      <c r="G90" s="70"/>
      <c r="H90" s="34">
        <f>IF(ISBLANK(G90),0,G90*C90)+IF(ISBLANK(F90),0,F90*objecturen10_1)</f>
        <v>0</v>
      </c>
      <c r="I90" s="34">
        <f>IF(C90=0,0,H90/C90)</f>
        <v>0</v>
      </c>
      <c r="J90" s="37">
        <f>IF(ISBLANK(E90),0,ROUND(E90,2)*H90)</f>
        <v>0</v>
      </c>
      <c r="K90" s="37">
        <f>J90/12</f>
        <v>0</v>
      </c>
    </row>
    <row r="91" spans="1:11" x14ac:dyDescent="0.2">
      <c r="A91" s="20"/>
      <c r="B91" s="20"/>
      <c r="C91" s="68">
        <f>dagenperjaar1</f>
        <v>210</v>
      </c>
      <c r="D91" s="69" t="s">
        <v>334</v>
      </c>
      <c r="E91" s="24"/>
      <c r="F91" s="23"/>
      <c r="G91" s="70"/>
      <c r="H91" s="34">
        <f>IF(ISBLANK(G91),0,G91*C91)+IF(ISBLANK(F91),0,F91*objecturen10_1)</f>
        <v>0</v>
      </c>
      <c r="I91" s="34">
        <f>IF(C91=0,0,H91/C91)</f>
        <v>0</v>
      </c>
      <c r="J91" s="37">
        <f>IF(ISBLANK(E91),0,ROUND(E91,2)*H91)</f>
        <v>0</v>
      </c>
      <c r="K91" s="37">
        <f>J91/12</f>
        <v>0</v>
      </c>
    </row>
    <row r="92" spans="1:11" x14ac:dyDescent="0.2">
      <c r="A92" s="20"/>
      <c r="B92" s="20"/>
      <c r="C92" s="68">
        <f>dagenperjaar1</f>
        <v>210</v>
      </c>
      <c r="D92" s="69" t="s">
        <v>335</v>
      </c>
      <c r="E92" s="24"/>
      <c r="F92" s="71"/>
      <c r="G92" s="22"/>
      <c r="H92" s="34">
        <f>IF(ISBLANK(G92),0,G92*C92)+IF(ISBLANK(F92),0,F92*objecturen10_1)</f>
        <v>0</v>
      </c>
      <c r="I92" s="34">
        <f>IF(C92=0,0,H92/C92)</f>
        <v>0</v>
      </c>
      <c r="J92" s="37">
        <f>IF(ISBLANK(E92),0,ROUND(E92,2)*H92)</f>
        <v>0</v>
      </c>
      <c r="K92" s="37">
        <f>J92/12</f>
        <v>0</v>
      </c>
    </row>
    <row r="93" spans="1:11" x14ac:dyDescent="0.2">
      <c r="A93" s="25"/>
      <c r="B93" s="25"/>
      <c r="C93" s="72">
        <f>dagenperjaar1</f>
        <v>210</v>
      </c>
      <c r="D93" s="73" t="s">
        <v>335</v>
      </c>
      <c r="E93" s="29"/>
      <c r="F93" s="74"/>
      <c r="G93" s="27"/>
      <c r="H93" s="39">
        <f>IF(ISBLANK(G93),0,G93*C93)+IF(ISBLANK(F93),0,F93*objecturen10_1)</f>
        <v>0</v>
      </c>
      <c r="I93" s="39">
        <f>IF(C93=0,0,H93/C93)</f>
        <v>0</v>
      </c>
      <c r="J93" s="41">
        <f>IF(ISBLANK(E93),0,ROUND(E93,2)*H93)</f>
        <v>0</v>
      </c>
      <c r="K93" s="41">
        <f>J93/12</f>
        <v>0</v>
      </c>
    </row>
    <row r="94" spans="1:11" x14ac:dyDescent="0.2">
      <c r="A94" s="75" t="s">
        <v>354</v>
      </c>
      <c r="B94" s="43"/>
      <c r="C94" s="43"/>
      <c r="D94" s="43"/>
      <c r="E94" s="43"/>
      <c r="F94" s="43"/>
      <c r="G94" s="43"/>
      <c r="H94" s="44">
        <f>SUM(H89:H93)</f>
        <v>0</v>
      </c>
      <c r="I94" s="43"/>
      <c r="J94" s="45">
        <f>SUM(J89:J93)</f>
        <v>0</v>
      </c>
      <c r="K94" s="46">
        <f>SUM(K89:K93)</f>
        <v>0</v>
      </c>
    </row>
    <row r="95" spans="1:11" x14ac:dyDescent="0.2">
      <c r="A95" s="47"/>
      <c r="B95" s="43"/>
      <c r="C95" s="43"/>
      <c r="D95" s="43"/>
      <c r="E95" s="43"/>
      <c r="F95" s="43"/>
      <c r="G95" s="43"/>
      <c r="H95" s="43"/>
      <c r="I95" s="43"/>
      <c r="J95" s="43"/>
      <c r="K95" s="48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66" t="s">
        <v>355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5" t="s">
        <v>332</v>
      </c>
      <c r="B98" s="15" t="s">
        <v>9</v>
      </c>
      <c r="C98" s="16">
        <f>IF(ISBLANK(B98),0,IF(ISERROR(VALUE(B98)),VLOOKUP(B98,dagsoorttabel1,2,FALSE)*dagenperjaar1,VALUE(B98)))</f>
        <v>254.99999999999997</v>
      </c>
      <c r="D98" s="15" t="s">
        <v>333</v>
      </c>
      <c r="E98" s="19"/>
      <c r="F98" s="18"/>
      <c r="G98" s="67"/>
      <c r="H98" s="30">
        <f>IF(ISBLANK(G98),0,G98*C98)+IF(ISBLANK(F98),0,F98*objecturen11_1)</f>
        <v>0</v>
      </c>
      <c r="I98" s="30">
        <f>IF(C98=0,0,H98/C98)</f>
        <v>0</v>
      </c>
      <c r="J98" s="33">
        <f>IF(ISBLANK(E98),0,ROUND(E98,2)*H98)</f>
        <v>0</v>
      </c>
      <c r="K98" s="33">
        <f>J98/12</f>
        <v>0</v>
      </c>
    </row>
    <row r="99" spans="1:11" x14ac:dyDescent="0.2">
      <c r="A99" s="20"/>
      <c r="B99" s="20"/>
      <c r="C99" s="68">
        <f>dagenperjaar1</f>
        <v>210</v>
      </c>
      <c r="D99" s="69" t="s">
        <v>334</v>
      </c>
      <c r="E99" s="24"/>
      <c r="F99" s="23"/>
      <c r="G99" s="70"/>
      <c r="H99" s="34">
        <f>IF(ISBLANK(G99),0,G99*C99)+IF(ISBLANK(F99),0,F99*objecturen11_1)</f>
        <v>0</v>
      </c>
      <c r="I99" s="34">
        <f>IF(C99=0,0,H99/C99)</f>
        <v>0</v>
      </c>
      <c r="J99" s="37">
        <f>IF(ISBLANK(E99),0,ROUND(E99,2)*H99)</f>
        <v>0</v>
      </c>
      <c r="K99" s="37">
        <f>J99/12</f>
        <v>0</v>
      </c>
    </row>
    <row r="100" spans="1:11" x14ac:dyDescent="0.2">
      <c r="A100" s="20"/>
      <c r="B100" s="20"/>
      <c r="C100" s="68">
        <f>dagenperjaar1</f>
        <v>210</v>
      </c>
      <c r="D100" s="69" t="s">
        <v>334</v>
      </c>
      <c r="E100" s="24"/>
      <c r="F100" s="23"/>
      <c r="G100" s="70"/>
      <c r="H100" s="34">
        <f>IF(ISBLANK(G100),0,G100*C100)+IF(ISBLANK(F100),0,F100*objecturen11_1)</f>
        <v>0</v>
      </c>
      <c r="I100" s="34">
        <f>IF(C100=0,0,H100/C100)</f>
        <v>0</v>
      </c>
      <c r="J100" s="37">
        <f>IF(ISBLANK(E100),0,ROUND(E100,2)*H100)</f>
        <v>0</v>
      </c>
      <c r="K100" s="37">
        <f>J100/12</f>
        <v>0</v>
      </c>
    </row>
    <row r="101" spans="1:11" x14ac:dyDescent="0.2">
      <c r="A101" s="20"/>
      <c r="B101" s="20"/>
      <c r="C101" s="68">
        <f>dagenperjaar1</f>
        <v>210</v>
      </c>
      <c r="D101" s="69" t="s">
        <v>335</v>
      </c>
      <c r="E101" s="24"/>
      <c r="F101" s="71"/>
      <c r="G101" s="22"/>
      <c r="H101" s="34">
        <f>IF(ISBLANK(G101),0,G101*C101)+IF(ISBLANK(F101),0,F101*objecturen11_1)</f>
        <v>0</v>
      </c>
      <c r="I101" s="34">
        <f>IF(C101=0,0,H101/C101)</f>
        <v>0</v>
      </c>
      <c r="J101" s="37">
        <f>IF(ISBLANK(E101),0,ROUND(E101,2)*H101)</f>
        <v>0</v>
      </c>
      <c r="K101" s="37">
        <f>J101/12</f>
        <v>0</v>
      </c>
    </row>
    <row r="102" spans="1:11" x14ac:dyDescent="0.2">
      <c r="A102" s="25"/>
      <c r="B102" s="25"/>
      <c r="C102" s="72">
        <f>dagenperjaar1</f>
        <v>210</v>
      </c>
      <c r="D102" s="73" t="s">
        <v>335</v>
      </c>
      <c r="E102" s="29"/>
      <c r="F102" s="74"/>
      <c r="G102" s="27"/>
      <c r="H102" s="39">
        <f>IF(ISBLANK(G102),0,G102*C102)+IF(ISBLANK(F102),0,F102*objecturen11_1)</f>
        <v>0</v>
      </c>
      <c r="I102" s="39">
        <f>IF(C102=0,0,H102/C102)</f>
        <v>0</v>
      </c>
      <c r="J102" s="41">
        <f>IF(ISBLANK(E102),0,ROUND(E102,2)*H102)</f>
        <v>0</v>
      </c>
      <c r="K102" s="41">
        <f>J102/12</f>
        <v>0</v>
      </c>
    </row>
    <row r="103" spans="1:11" x14ac:dyDescent="0.2">
      <c r="A103" s="75" t="s">
        <v>356</v>
      </c>
      <c r="B103" s="43"/>
      <c r="C103" s="43"/>
      <c r="D103" s="43"/>
      <c r="E103" s="43"/>
      <c r="F103" s="43"/>
      <c r="G103" s="43"/>
      <c r="H103" s="44">
        <f>SUM(H98:H102)</f>
        <v>0</v>
      </c>
      <c r="I103" s="43"/>
      <c r="J103" s="45">
        <f>SUM(J98:J102)</f>
        <v>0</v>
      </c>
      <c r="K103" s="46">
        <f>SUM(K98:K102)</f>
        <v>0</v>
      </c>
    </row>
    <row r="104" spans="1:11" x14ac:dyDescent="0.2">
      <c r="A104" s="47"/>
      <c r="B104" s="43"/>
      <c r="C104" s="43"/>
      <c r="D104" s="43"/>
      <c r="E104" s="43"/>
      <c r="F104" s="43"/>
      <c r="G104" s="43"/>
      <c r="H104" s="43"/>
      <c r="I104" s="43"/>
      <c r="J104" s="43"/>
      <c r="K104" s="48"/>
    </row>
    <row r="105" spans="1:11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1"/>
    </row>
    <row r="106" spans="1:11" x14ac:dyDescent="0.2">
      <c r="A106" s="66" t="s">
        <v>357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</row>
    <row r="107" spans="1:11" x14ac:dyDescent="0.2">
      <c r="A107" s="15" t="s">
        <v>332</v>
      </c>
      <c r="B107" s="15" t="s">
        <v>12</v>
      </c>
      <c r="C107" s="16">
        <f>IF(ISBLANK(B107),0,IF(ISERROR(VALUE(B107)),VLOOKUP(B107,dagsoorttabel1,2,FALSE)*dagenperjaar1,VALUE(B107)))</f>
        <v>210</v>
      </c>
      <c r="D107" s="15" t="s">
        <v>333</v>
      </c>
      <c r="E107" s="19"/>
      <c r="F107" s="18"/>
      <c r="G107" s="67"/>
      <c r="H107" s="30">
        <f>IF(ISBLANK(G107),0,G107*C107)+IF(ISBLANK(F107),0,F107*objecturen12_1)</f>
        <v>0</v>
      </c>
      <c r="I107" s="30">
        <f>IF(C107=0,0,H107/C107)</f>
        <v>0</v>
      </c>
      <c r="J107" s="33">
        <f>IF(ISBLANK(E107),0,ROUND(E107,2)*H107)</f>
        <v>0</v>
      </c>
      <c r="K107" s="33">
        <f>J107/12</f>
        <v>0</v>
      </c>
    </row>
    <row r="108" spans="1:11" x14ac:dyDescent="0.2">
      <c r="A108" s="20"/>
      <c r="B108" s="20"/>
      <c r="C108" s="68">
        <f>dagenperjaar1</f>
        <v>210</v>
      </c>
      <c r="D108" s="69" t="s">
        <v>334</v>
      </c>
      <c r="E108" s="24"/>
      <c r="F108" s="23"/>
      <c r="G108" s="70"/>
      <c r="H108" s="34">
        <f>IF(ISBLANK(G108),0,G108*C108)+IF(ISBLANK(F108),0,F108*objecturen12_1)</f>
        <v>0</v>
      </c>
      <c r="I108" s="34">
        <f>IF(C108=0,0,H108/C108)</f>
        <v>0</v>
      </c>
      <c r="J108" s="37">
        <f>IF(ISBLANK(E108),0,ROUND(E108,2)*H108)</f>
        <v>0</v>
      </c>
      <c r="K108" s="37">
        <f>J108/12</f>
        <v>0</v>
      </c>
    </row>
    <row r="109" spans="1:11" x14ac:dyDescent="0.2">
      <c r="A109" s="20"/>
      <c r="B109" s="20"/>
      <c r="C109" s="68">
        <f>dagenperjaar1</f>
        <v>210</v>
      </c>
      <c r="D109" s="69" t="s">
        <v>334</v>
      </c>
      <c r="E109" s="24"/>
      <c r="F109" s="23"/>
      <c r="G109" s="70"/>
      <c r="H109" s="34">
        <f>IF(ISBLANK(G109),0,G109*C109)+IF(ISBLANK(F109),0,F109*objecturen12_1)</f>
        <v>0</v>
      </c>
      <c r="I109" s="34">
        <f>IF(C109=0,0,H109/C109)</f>
        <v>0</v>
      </c>
      <c r="J109" s="37">
        <f>IF(ISBLANK(E109),0,ROUND(E109,2)*H109)</f>
        <v>0</v>
      </c>
      <c r="K109" s="37">
        <f>J109/12</f>
        <v>0</v>
      </c>
    </row>
    <row r="110" spans="1:11" x14ac:dyDescent="0.2">
      <c r="A110" s="20"/>
      <c r="B110" s="20"/>
      <c r="C110" s="68">
        <f>dagenperjaar1</f>
        <v>210</v>
      </c>
      <c r="D110" s="69" t="s">
        <v>335</v>
      </c>
      <c r="E110" s="24"/>
      <c r="F110" s="71"/>
      <c r="G110" s="22"/>
      <c r="H110" s="34">
        <f>IF(ISBLANK(G110),0,G110*C110)+IF(ISBLANK(F110),0,F110*objecturen12_1)</f>
        <v>0</v>
      </c>
      <c r="I110" s="34">
        <f>IF(C110=0,0,H110/C110)</f>
        <v>0</v>
      </c>
      <c r="J110" s="37">
        <f>IF(ISBLANK(E110),0,ROUND(E110,2)*H110)</f>
        <v>0</v>
      </c>
      <c r="K110" s="37">
        <f>J110/12</f>
        <v>0</v>
      </c>
    </row>
    <row r="111" spans="1:11" x14ac:dyDescent="0.2">
      <c r="A111" s="25"/>
      <c r="B111" s="25"/>
      <c r="C111" s="72">
        <f>dagenperjaar1</f>
        <v>210</v>
      </c>
      <c r="D111" s="73" t="s">
        <v>335</v>
      </c>
      <c r="E111" s="29"/>
      <c r="F111" s="74"/>
      <c r="G111" s="27"/>
      <c r="H111" s="39">
        <f>IF(ISBLANK(G111),0,G111*C111)+IF(ISBLANK(F111),0,F111*objecturen12_1)</f>
        <v>0</v>
      </c>
      <c r="I111" s="39">
        <f>IF(C111=0,0,H111/C111)</f>
        <v>0</v>
      </c>
      <c r="J111" s="41">
        <f>IF(ISBLANK(E111),0,ROUND(E111,2)*H111)</f>
        <v>0</v>
      </c>
      <c r="K111" s="41">
        <f>J111/12</f>
        <v>0</v>
      </c>
    </row>
    <row r="112" spans="1:11" x14ac:dyDescent="0.2">
      <c r="A112" s="75" t="s">
        <v>358</v>
      </c>
      <c r="B112" s="43"/>
      <c r="C112" s="43"/>
      <c r="D112" s="43"/>
      <c r="E112" s="43"/>
      <c r="F112" s="43"/>
      <c r="G112" s="43"/>
      <c r="H112" s="44">
        <f>SUM(H107:H111)</f>
        <v>0</v>
      </c>
      <c r="I112" s="43"/>
      <c r="J112" s="45">
        <f>SUM(J107:J111)</f>
        <v>0</v>
      </c>
      <c r="K112" s="46">
        <f>SUM(K107:K111)</f>
        <v>0</v>
      </c>
    </row>
    <row r="113" spans="1:11" x14ac:dyDescent="0.2">
      <c r="A113" s="47"/>
      <c r="B113" s="43"/>
      <c r="C113" s="43"/>
      <c r="D113" s="43"/>
      <c r="E113" s="43"/>
      <c r="F113" s="43"/>
      <c r="G113" s="43"/>
      <c r="H113" s="43"/>
      <c r="I113" s="43"/>
      <c r="J113" s="43"/>
      <c r="K113" s="48"/>
    </row>
    <row r="114" spans="1:11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1"/>
    </row>
    <row r="115" spans="1:11" x14ac:dyDescent="0.2">
      <c r="A115" s="66" t="s">
        <v>359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4"/>
    </row>
    <row r="116" spans="1:11" x14ac:dyDescent="0.2">
      <c r="A116" s="15" t="s">
        <v>332</v>
      </c>
      <c r="B116" s="15" t="s">
        <v>12</v>
      </c>
      <c r="C116" s="16">
        <f>IF(ISBLANK(B116),0,IF(ISERROR(VALUE(B116)),VLOOKUP(B116,dagsoorttabel1,2,FALSE)*dagenperjaar1,VALUE(B116)))</f>
        <v>210</v>
      </c>
      <c r="D116" s="15" t="s">
        <v>333</v>
      </c>
      <c r="E116" s="19"/>
      <c r="F116" s="18"/>
      <c r="G116" s="67"/>
      <c r="H116" s="30">
        <f>IF(ISBLANK(G116),0,G116*C116)+IF(ISBLANK(F116),0,F116*objecturen13_1)</f>
        <v>0</v>
      </c>
      <c r="I116" s="30">
        <f>IF(C116=0,0,H116/C116)</f>
        <v>0</v>
      </c>
      <c r="J116" s="33">
        <f>IF(ISBLANK(E116),0,ROUND(E116,2)*H116)</f>
        <v>0</v>
      </c>
      <c r="K116" s="33">
        <f>J116/12</f>
        <v>0</v>
      </c>
    </row>
    <row r="117" spans="1:11" x14ac:dyDescent="0.2">
      <c r="A117" s="20"/>
      <c r="B117" s="20"/>
      <c r="C117" s="68">
        <f>dagenperjaar1</f>
        <v>210</v>
      </c>
      <c r="D117" s="69" t="s">
        <v>334</v>
      </c>
      <c r="E117" s="24"/>
      <c r="F117" s="23"/>
      <c r="G117" s="70"/>
      <c r="H117" s="34">
        <f>IF(ISBLANK(G117),0,G117*C117)+IF(ISBLANK(F117),0,F117*objecturen13_1)</f>
        <v>0</v>
      </c>
      <c r="I117" s="34">
        <f>IF(C117=0,0,H117/C117)</f>
        <v>0</v>
      </c>
      <c r="J117" s="37">
        <f>IF(ISBLANK(E117),0,ROUND(E117,2)*H117)</f>
        <v>0</v>
      </c>
      <c r="K117" s="37">
        <f>J117/12</f>
        <v>0</v>
      </c>
    </row>
    <row r="118" spans="1:11" x14ac:dyDescent="0.2">
      <c r="A118" s="20"/>
      <c r="B118" s="20"/>
      <c r="C118" s="68">
        <f>dagenperjaar1</f>
        <v>210</v>
      </c>
      <c r="D118" s="69" t="s">
        <v>334</v>
      </c>
      <c r="E118" s="24"/>
      <c r="F118" s="23"/>
      <c r="G118" s="70"/>
      <c r="H118" s="34">
        <f>IF(ISBLANK(G118),0,G118*C118)+IF(ISBLANK(F118),0,F118*objecturen13_1)</f>
        <v>0</v>
      </c>
      <c r="I118" s="34">
        <f>IF(C118=0,0,H118/C118)</f>
        <v>0</v>
      </c>
      <c r="J118" s="37">
        <f>IF(ISBLANK(E118),0,ROUND(E118,2)*H118)</f>
        <v>0</v>
      </c>
      <c r="K118" s="37">
        <f>J118/12</f>
        <v>0</v>
      </c>
    </row>
    <row r="119" spans="1:11" x14ac:dyDescent="0.2">
      <c r="A119" s="20"/>
      <c r="B119" s="20"/>
      <c r="C119" s="68">
        <f>dagenperjaar1</f>
        <v>210</v>
      </c>
      <c r="D119" s="69" t="s">
        <v>335</v>
      </c>
      <c r="E119" s="24"/>
      <c r="F119" s="71"/>
      <c r="G119" s="22"/>
      <c r="H119" s="34">
        <f>IF(ISBLANK(G119),0,G119*C119)+IF(ISBLANK(F119),0,F119*objecturen13_1)</f>
        <v>0</v>
      </c>
      <c r="I119" s="34">
        <f>IF(C119=0,0,H119/C119)</f>
        <v>0</v>
      </c>
      <c r="J119" s="37">
        <f>IF(ISBLANK(E119),0,ROUND(E119,2)*H119)</f>
        <v>0</v>
      </c>
      <c r="K119" s="37">
        <f>J119/12</f>
        <v>0</v>
      </c>
    </row>
    <row r="120" spans="1:11" x14ac:dyDescent="0.2">
      <c r="A120" s="25"/>
      <c r="B120" s="25"/>
      <c r="C120" s="72">
        <f>dagenperjaar1</f>
        <v>210</v>
      </c>
      <c r="D120" s="73" t="s">
        <v>335</v>
      </c>
      <c r="E120" s="29"/>
      <c r="F120" s="74"/>
      <c r="G120" s="27"/>
      <c r="H120" s="39">
        <f>IF(ISBLANK(G120),0,G120*C120)+IF(ISBLANK(F120),0,F120*objecturen13_1)</f>
        <v>0</v>
      </c>
      <c r="I120" s="39">
        <f>IF(C120=0,0,H120/C120)</f>
        <v>0</v>
      </c>
      <c r="J120" s="41">
        <f>IF(ISBLANK(E120),0,ROUND(E120,2)*H120)</f>
        <v>0</v>
      </c>
      <c r="K120" s="41">
        <f>J120/12</f>
        <v>0</v>
      </c>
    </row>
    <row r="121" spans="1:11" x14ac:dyDescent="0.2">
      <c r="A121" s="75" t="s">
        <v>360</v>
      </c>
      <c r="B121" s="43"/>
      <c r="C121" s="43"/>
      <c r="D121" s="43"/>
      <c r="E121" s="43"/>
      <c r="F121" s="43"/>
      <c r="G121" s="43"/>
      <c r="H121" s="44">
        <f>SUM(H116:H120)</f>
        <v>0</v>
      </c>
      <c r="I121" s="43"/>
      <c r="J121" s="45">
        <f>SUM(J116:J120)</f>
        <v>0</v>
      </c>
      <c r="K121" s="46">
        <f>SUM(K116:K120)</f>
        <v>0</v>
      </c>
    </row>
    <row r="122" spans="1:11" x14ac:dyDescent="0.2">
      <c r="A122" s="47"/>
      <c r="B122" s="43"/>
      <c r="C122" s="43"/>
      <c r="D122" s="43"/>
      <c r="E122" s="43"/>
      <c r="F122" s="43"/>
      <c r="G122" s="43"/>
      <c r="H122" s="43"/>
      <c r="I122" s="43"/>
      <c r="J122" s="43"/>
      <c r="K122" s="48"/>
    </row>
    <row r="123" spans="1:11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1"/>
    </row>
    <row r="124" spans="1:11" x14ac:dyDescent="0.2">
      <c r="A124" s="66" t="s">
        <v>361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">
      <c r="A125" s="15" t="s">
        <v>332</v>
      </c>
      <c r="B125" s="15" t="s">
        <v>12</v>
      </c>
      <c r="C125" s="16">
        <f>IF(ISBLANK(B125),0,IF(ISERROR(VALUE(B125)),VLOOKUP(B125,dagsoorttabel1,2,FALSE)*dagenperjaar1,VALUE(B125)))</f>
        <v>210</v>
      </c>
      <c r="D125" s="15" t="s">
        <v>333</v>
      </c>
      <c r="E125" s="19"/>
      <c r="F125" s="18"/>
      <c r="G125" s="67"/>
      <c r="H125" s="30">
        <f>IF(ISBLANK(G125),0,G125*C125)+IF(ISBLANK(F125),0,F125*objecturen14_1)</f>
        <v>0</v>
      </c>
      <c r="I125" s="30">
        <f>IF(C125=0,0,H125/C125)</f>
        <v>0</v>
      </c>
      <c r="J125" s="33">
        <f>IF(ISBLANK(E125),0,ROUND(E125,2)*H125)</f>
        <v>0</v>
      </c>
      <c r="K125" s="33">
        <f>J125/12</f>
        <v>0</v>
      </c>
    </row>
    <row r="126" spans="1:11" x14ac:dyDescent="0.2">
      <c r="A126" s="20"/>
      <c r="B126" s="20"/>
      <c r="C126" s="68">
        <f>dagenperjaar1</f>
        <v>210</v>
      </c>
      <c r="D126" s="69" t="s">
        <v>334</v>
      </c>
      <c r="E126" s="24"/>
      <c r="F126" s="23"/>
      <c r="G126" s="70"/>
      <c r="H126" s="34">
        <f>IF(ISBLANK(G126),0,G126*C126)+IF(ISBLANK(F126),0,F126*objecturen14_1)</f>
        <v>0</v>
      </c>
      <c r="I126" s="34">
        <f>IF(C126=0,0,H126/C126)</f>
        <v>0</v>
      </c>
      <c r="J126" s="37">
        <f>IF(ISBLANK(E126),0,ROUND(E126,2)*H126)</f>
        <v>0</v>
      </c>
      <c r="K126" s="37">
        <f>J126/12</f>
        <v>0</v>
      </c>
    </row>
    <row r="127" spans="1:11" x14ac:dyDescent="0.2">
      <c r="A127" s="20"/>
      <c r="B127" s="20"/>
      <c r="C127" s="68">
        <f>dagenperjaar1</f>
        <v>210</v>
      </c>
      <c r="D127" s="69" t="s">
        <v>334</v>
      </c>
      <c r="E127" s="24"/>
      <c r="F127" s="23"/>
      <c r="G127" s="70"/>
      <c r="H127" s="34">
        <f>IF(ISBLANK(G127),0,G127*C127)+IF(ISBLANK(F127),0,F127*objecturen14_1)</f>
        <v>0</v>
      </c>
      <c r="I127" s="34">
        <f>IF(C127=0,0,H127/C127)</f>
        <v>0</v>
      </c>
      <c r="J127" s="37">
        <f>IF(ISBLANK(E127),0,ROUND(E127,2)*H127)</f>
        <v>0</v>
      </c>
      <c r="K127" s="37">
        <f>J127/12</f>
        <v>0</v>
      </c>
    </row>
    <row r="128" spans="1:11" x14ac:dyDescent="0.2">
      <c r="A128" s="20"/>
      <c r="B128" s="20"/>
      <c r="C128" s="68">
        <f>dagenperjaar1</f>
        <v>210</v>
      </c>
      <c r="D128" s="69" t="s">
        <v>335</v>
      </c>
      <c r="E128" s="24"/>
      <c r="F128" s="71"/>
      <c r="G128" s="22"/>
      <c r="H128" s="34">
        <f>IF(ISBLANK(G128),0,G128*C128)+IF(ISBLANK(F128),0,F128*objecturen14_1)</f>
        <v>0</v>
      </c>
      <c r="I128" s="34">
        <f>IF(C128=0,0,H128/C128)</f>
        <v>0</v>
      </c>
      <c r="J128" s="37">
        <f>IF(ISBLANK(E128),0,ROUND(E128,2)*H128)</f>
        <v>0</v>
      </c>
      <c r="K128" s="37">
        <f>J128/12</f>
        <v>0</v>
      </c>
    </row>
    <row r="129" spans="1:11" x14ac:dyDescent="0.2">
      <c r="A129" s="25"/>
      <c r="B129" s="25"/>
      <c r="C129" s="72">
        <f>dagenperjaar1</f>
        <v>210</v>
      </c>
      <c r="D129" s="73" t="s">
        <v>335</v>
      </c>
      <c r="E129" s="29"/>
      <c r="F129" s="74"/>
      <c r="G129" s="27"/>
      <c r="H129" s="39">
        <f>IF(ISBLANK(G129),0,G129*C129)+IF(ISBLANK(F129),0,F129*objecturen14_1)</f>
        <v>0</v>
      </c>
      <c r="I129" s="39">
        <f>IF(C129=0,0,H129/C129)</f>
        <v>0</v>
      </c>
      <c r="J129" s="41">
        <f>IF(ISBLANK(E129),0,ROUND(E129,2)*H129)</f>
        <v>0</v>
      </c>
      <c r="K129" s="41">
        <f>J129/12</f>
        <v>0</v>
      </c>
    </row>
    <row r="130" spans="1:11" x14ac:dyDescent="0.2">
      <c r="A130" s="75" t="s">
        <v>362</v>
      </c>
      <c r="B130" s="43"/>
      <c r="C130" s="43"/>
      <c r="D130" s="43"/>
      <c r="E130" s="43"/>
      <c r="F130" s="43"/>
      <c r="G130" s="43"/>
      <c r="H130" s="44">
        <f>SUM(H125:H129)</f>
        <v>0</v>
      </c>
      <c r="I130" s="43"/>
      <c r="J130" s="45">
        <f>SUM(J125:J129)</f>
        <v>0</v>
      </c>
      <c r="K130" s="46">
        <f>SUM(K125:K129)</f>
        <v>0</v>
      </c>
    </row>
    <row r="131" spans="1:11" x14ac:dyDescent="0.2">
      <c r="A131" s="47"/>
      <c r="B131" s="43"/>
      <c r="C131" s="43"/>
      <c r="D131" s="43"/>
      <c r="E131" s="43"/>
      <c r="F131" s="43"/>
      <c r="G131" s="43"/>
      <c r="H131" s="43"/>
      <c r="I131" s="43"/>
      <c r="J131" s="43"/>
      <c r="K131" s="48"/>
    </row>
    <row r="132" spans="1:11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pans="1:11" x14ac:dyDescent="0.2">
      <c r="A133" s="66" t="s">
        <v>363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pans="1:11" x14ac:dyDescent="0.2">
      <c r="A134" s="15" t="s">
        <v>332</v>
      </c>
      <c r="B134" s="15" t="s">
        <v>12</v>
      </c>
      <c r="C134" s="16">
        <f>IF(ISBLANK(B134),0,IF(ISERROR(VALUE(B134)),VLOOKUP(B134,dagsoorttabel1,2,FALSE)*dagenperjaar1,VALUE(B134)))</f>
        <v>210</v>
      </c>
      <c r="D134" s="15" t="s">
        <v>333</v>
      </c>
      <c r="E134" s="19"/>
      <c r="F134" s="18"/>
      <c r="G134" s="67"/>
      <c r="H134" s="30">
        <f>IF(ISBLANK(G134),0,G134*C134)+IF(ISBLANK(F134),0,F134*objecturen15_1)</f>
        <v>0</v>
      </c>
      <c r="I134" s="30">
        <f>IF(C134=0,0,H134/C134)</f>
        <v>0</v>
      </c>
      <c r="J134" s="33">
        <f>IF(ISBLANK(E134),0,ROUND(E134,2)*H134)</f>
        <v>0</v>
      </c>
      <c r="K134" s="33">
        <f>J134/12</f>
        <v>0</v>
      </c>
    </row>
    <row r="135" spans="1:11" x14ac:dyDescent="0.2">
      <c r="A135" s="20"/>
      <c r="B135" s="20"/>
      <c r="C135" s="68">
        <f>dagenperjaar1</f>
        <v>210</v>
      </c>
      <c r="D135" s="69" t="s">
        <v>334</v>
      </c>
      <c r="E135" s="24"/>
      <c r="F135" s="23"/>
      <c r="G135" s="70"/>
      <c r="H135" s="34">
        <f>IF(ISBLANK(G135),0,G135*C135)+IF(ISBLANK(F135),0,F135*objecturen15_1)</f>
        <v>0</v>
      </c>
      <c r="I135" s="34">
        <f>IF(C135=0,0,H135/C135)</f>
        <v>0</v>
      </c>
      <c r="J135" s="37">
        <f>IF(ISBLANK(E135),0,ROUND(E135,2)*H135)</f>
        <v>0</v>
      </c>
      <c r="K135" s="37">
        <f>J135/12</f>
        <v>0</v>
      </c>
    </row>
    <row r="136" spans="1:11" x14ac:dyDescent="0.2">
      <c r="A136" s="20"/>
      <c r="B136" s="20"/>
      <c r="C136" s="68">
        <f>dagenperjaar1</f>
        <v>210</v>
      </c>
      <c r="D136" s="69" t="s">
        <v>334</v>
      </c>
      <c r="E136" s="24"/>
      <c r="F136" s="23"/>
      <c r="G136" s="70"/>
      <c r="H136" s="34">
        <f>IF(ISBLANK(G136),0,G136*C136)+IF(ISBLANK(F136),0,F136*objecturen15_1)</f>
        <v>0</v>
      </c>
      <c r="I136" s="34">
        <f>IF(C136=0,0,H136/C136)</f>
        <v>0</v>
      </c>
      <c r="J136" s="37">
        <f>IF(ISBLANK(E136),0,ROUND(E136,2)*H136)</f>
        <v>0</v>
      </c>
      <c r="K136" s="37">
        <f>J136/12</f>
        <v>0</v>
      </c>
    </row>
    <row r="137" spans="1:11" x14ac:dyDescent="0.2">
      <c r="A137" s="20"/>
      <c r="B137" s="20"/>
      <c r="C137" s="68">
        <f>dagenperjaar1</f>
        <v>210</v>
      </c>
      <c r="D137" s="69" t="s">
        <v>335</v>
      </c>
      <c r="E137" s="24"/>
      <c r="F137" s="71"/>
      <c r="G137" s="22"/>
      <c r="H137" s="34">
        <f>IF(ISBLANK(G137),0,G137*C137)+IF(ISBLANK(F137),0,F137*objecturen15_1)</f>
        <v>0</v>
      </c>
      <c r="I137" s="34">
        <f>IF(C137=0,0,H137/C137)</f>
        <v>0</v>
      </c>
      <c r="J137" s="37">
        <f>IF(ISBLANK(E137),0,ROUND(E137,2)*H137)</f>
        <v>0</v>
      </c>
      <c r="K137" s="37">
        <f>J137/12</f>
        <v>0</v>
      </c>
    </row>
    <row r="138" spans="1:11" x14ac:dyDescent="0.2">
      <c r="A138" s="25"/>
      <c r="B138" s="25"/>
      <c r="C138" s="72">
        <f>dagenperjaar1</f>
        <v>210</v>
      </c>
      <c r="D138" s="73" t="s">
        <v>335</v>
      </c>
      <c r="E138" s="29"/>
      <c r="F138" s="74"/>
      <c r="G138" s="27"/>
      <c r="H138" s="39">
        <f>IF(ISBLANK(G138),0,G138*C138)+IF(ISBLANK(F138),0,F138*objecturen15_1)</f>
        <v>0</v>
      </c>
      <c r="I138" s="39">
        <f>IF(C138=0,0,H138/C138)</f>
        <v>0</v>
      </c>
      <c r="J138" s="41">
        <f>IF(ISBLANK(E138),0,ROUND(E138,2)*H138)</f>
        <v>0</v>
      </c>
      <c r="K138" s="41">
        <f>J138/12</f>
        <v>0</v>
      </c>
    </row>
    <row r="139" spans="1:11" x14ac:dyDescent="0.2">
      <c r="A139" s="75" t="s">
        <v>364</v>
      </c>
      <c r="B139" s="43"/>
      <c r="C139" s="43"/>
      <c r="D139" s="43"/>
      <c r="E139" s="43"/>
      <c r="F139" s="43"/>
      <c r="G139" s="43"/>
      <c r="H139" s="44">
        <f>SUM(H134:H138)</f>
        <v>0</v>
      </c>
      <c r="I139" s="43"/>
      <c r="J139" s="45">
        <f>SUM(J134:J138)</f>
        <v>0</v>
      </c>
      <c r="K139" s="46">
        <f>SUM(K134:K138)</f>
        <v>0</v>
      </c>
    </row>
    <row r="140" spans="1:11" x14ac:dyDescent="0.2">
      <c r="A140" s="47"/>
      <c r="B140" s="43"/>
      <c r="C140" s="43"/>
      <c r="D140" s="43"/>
      <c r="E140" s="43"/>
      <c r="F140" s="43"/>
      <c r="G140" s="43"/>
      <c r="H140" s="43"/>
      <c r="I140" s="43"/>
      <c r="J140" s="43"/>
      <c r="K140" s="48"/>
    </row>
    <row r="141" spans="1:11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1"/>
    </row>
    <row r="142" spans="1:11" x14ac:dyDescent="0.2">
      <c r="A142" s="66" t="s">
        <v>365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4"/>
    </row>
    <row r="143" spans="1:11" x14ac:dyDescent="0.2">
      <c r="A143" s="15" t="s">
        <v>332</v>
      </c>
      <c r="B143" s="15" t="s">
        <v>12</v>
      </c>
      <c r="C143" s="16">
        <f>IF(ISBLANK(B143),0,IF(ISERROR(VALUE(B143)),VLOOKUP(B143,dagsoorttabel1,2,FALSE)*dagenperjaar1,VALUE(B143)))</f>
        <v>210</v>
      </c>
      <c r="D143" s="15" t="s">
        <v>333</v>
      </c>
      <c r="E143" s="19"/>
      <c r="F143" s="18"/>
      <c r="G143" s="67"/>
      <c r="H143" s="30">
        <f>IF(ISBLANK(G143),0,G143*C143)+IF(ISBLANK(F143),0,F143*objecturen16_1)</f>
        <v>0</v>
      </c>
      <c r="I143" s="30">
        <f>IF(C143=0,0,H143/C143)</f>
        <v>0</v>
      </c>
      <c r="J143" s="33">
        <f>IF(ISBLANK(E143),0,ROUND(E143,2)*H143)</f>
        <v>0</v>
      </c>
      <c r="K143" s="33">
        <f>J143/12</f>
        <v>0</v>
      </c>
    </row>
    <row r="144" spans="1:11" x14ac:dyDescent="0.2">
      <c r="A144" s="20"/>
      <c r="B144" s="20"/>
      <c r="C144" s="68">
        <f>dagenperjaar1</f>
        <v>210</v>
      </c>
      <c r="D144" s="69" t="s">
        <v>334</v>
      </c>
      <c r="E144" s="24"/>
      <c r="F144" s="23"/>
      <c r="G144" s="70"/>
      <c r="H144" s="34">
        <f>IF(ISBLANK(G144),0,G144*C144)+IF(ISBLANK(F144),0,F144*objecturen16_1)</f>
        <v>0</v>
      </c>
      <c r="I144" s="34">
        <f>IF(C144=0,0,H144/C144)</f>
        <v>0</v>
      </c>
      <c r="J144" s="37">
        <f>IF(ISBLANK(E144),0,ROUND(E144,2)*H144)</f>
        <v>0</v>
      </c>
      <c r="K144" s="37">
        <f>J144/12</f>
        <v>0</v>
      </c>
    </row>
    <row r="145" spans="1:11" x14ac:dyDescent="0.2">
      <c r="A145" s="20"/>
      <c r="B145" s="20"/>
      <c r="C145" s="68">
        <f>dagenperjaar1</f>
        <v>210</v>
      </c>
      <c r="D145" s="69" t="s">
        <v>334</v>
      </c>
      <c r="E145" s="24"/>
      <c r="F145" s="23"/>
      <c r="G145" s="70"/>
      <c r="H145" s="34">
        <f>IF(ISBLANK(G145),0,G145*C145)+IF(ISBLANK(F145),0,F145*objecturen16_1)</f>
        <v>0</v>
      </c>
      <c r="I145" s="34">
        <f>IF(C145=0,0,H145/C145)</f>
        <v>0</v>
      </c>
      <c r="J145" s="37">
        <f>IF(ISBLANK(E145),0,ROUND(E145,2)*H145)</f>
        <v>0</v>
      </c>
      <c r="K145" s="37">
        <f>J145/12</f>
        <v>0</v>
      </c>
    </row>
    <row r="146" spans="1:11" x14ac:dyDescent="0.2">
      <c r="A146" s="20"/>
      <c r="B146" s="20"/>
      <c r="C146" s="68">
        <f>dagenperjaar1</f>
        <v>210</v>
      </c>
      <c r="D146" s="69" t="s">
        <v>335</v>
      </c>
      <c r="E146" s="24"/>
      <c r="F146" s="71"/>
      <c r="G146" s="22"/>
      <c r="H146" s="34">
        <f>IF(ISBLANK(G146),0,G146*C146)+IF(ISBLANK(F146),0,F146*objecturen16_1)</f>
        <v>0</v>
      </c>
      <c r="I146" s="34">
        <f>IF(C146=0,0,H146/C146)</f>
        <v>0</v>
      </c>
      <c r="J146" s="37">
        <f>IF(ISBLANK(E146),0,ROUND(E146,2)*H146)</f>
        <v>0</v>
      </c>
      <c r="K146" s="37">
        <f>J146/12</f>
        <v>0</v>
      </c>
    </row>
    <row r="147" spans="1:11" x14ac:dyDescent="0.2">
      <c r="A147" s="25"/>
      <c r="B147" s="25"/>
      <c r="C147" s="72">
        <f>dagenperjaar1</f>
        <v>210</v>
      </c>
      <c r="D147" s="73" t="s">
        <v>335</v>
      </c>
      <c r="E147" s="29"/>
      <c r="F147" s="74"/>
      <c r="G147" s="27"/>
      <c r="H147" s="39">
        <f>IF(ISBLANK(G147),0,G147*C147)+IF(ISBLANK(F147),0,F147*objecturen16_1)</f>
        <v>0</v>
      </c>
      <c r="I147" s="39">
        <f>IF(C147=0,0,H147/C147)</f>
        <v>0</v>
      </c>
      <c r="J147" s="41">
        <f>IF(ISBLANK(E147),0,ROUND(E147,2)*H147)</f>
        <v>0</v>
      </c>
      <c r="K147" s="41">
        <f>J147/12</f>
        <v>0</v>
      </c>
    </row>
    <row r="148" spans="1:11" x14ac:dyDescent="0.2">
      <c r="A148" s="75" t="s">
        <v>366</v>
      </c>
      <c r="B148" s="43"/>
      <c r="C148" s="43"/>
      <c r="D148" s="43"/>
      <c r="E148" s="43"/>
      <c r="F148" s="43"/>
      <c r="G148" s="43"/>
      <c r="H148" s="44">
        <f>SUM(H143:H147)</f>
        <v>0</v>
      </c>
      <c r="I148" s="43"/>
      <c r="J148" s="45">
        <f>SUM(J143:J147)</f>
        <v>0</v>
      </c>
      <c r="K148" s="46">
        <f>SUM(K143:K147)</f>
        <v>0</v>
      </c>
    </row>
    <row r="149" spans="1:11" x14ac:dyDescent="0.2">
      <c r="A149" s="47"/>
      <c r="B149" s="43"/>
      <c r="C149" s="43"/>
      <c r="D149" s="43"/>
      <c r="E149" s="43"/>
      <c r="F149" s="43"/>
      <c r="G149" s="43"/>
      <c r="H149" s="43"/>
      <c r="I149" s="43"/>
      <c r="J149" s="43"/>
      <c r="K149" s="48"/>
    </row>
    <row r="150" spans="1:11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1" x14ac:dyDescent="0.2">
      <c r="A151" s="66" t="s">
        <v>367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4"/>
    </row>
    <row r="152" spans="1:11" x14ac:dyDescent="0.2">
      <c r="A152" s="15" t="s">
        <v>332</v>
      </c>
      <c r="B152" s="15" t="s">
        <v>12</v>
      </c>
      <c r="C152" s="16">
        <f>IF(ISBLANK(B152),0,IF(ISERROR(VALUE(B152)),VLOOKUP(B152,dagsoorttabel1,2,FALSE)*dagenperjaar1,VALUE(B152)))</f>
        <v>210</v>
      </c>
      <c r="D152" s="15" t="s">
        <v>333</v>
      </c>
      <c r="E152" s="19"/>
      <c r="F152" s="18"/>
      <c r="G152" s="67"/>
      <c r="H152" s="30">
        <f>IF(ISBLANK(G152),0,G152*C152)+IF(ISBLANK(F152),0,F152*objecturen17_1)</f>
        <v>0</v>
      </c>
      <c r="I152" s="30">
        <f>IF(C152=0,0,H152/C152)</f>
        <v>0</v>
      </c>
      <c r="J152" s="33">
        <f>IF(ISBLANK(E152),0,ROUND(E152,2)*H152)</f>
        <v>0</v>
      </c>
      <c r="K152" s="33">
        <f>J152/12</f>
        <v>0</v>
      </c>
    </row>
    <row r="153" spans="1:11" x14ac:dyDescent="0.2">
      <c r="A153" s="20"/>
      <c r="B153" s="20"/>
      <c r="C153" s="68">
        <f>dagenperjaar1</f>
        <v>210</v>
      </c>
      <c r="D153" s="69" t="s">
        <v>334</v>
      </c>
      <c r="E153" s="24"/>
      <c r="F153" s="23"/>
      <c r="G153" s="70"/>
      <c r="H153" s="34">
        <f>IF(ISBLANK(G153),0,G153*C153)+IF(ISBLANK(F153),0,F153*objecturen17_1)</f>
        <v>0</v>
      </c>
      <c r="I153" s="34">
        <f>IF(C153=0,0,H153/C153)</f>
        <v>0</v>
      </c>
      <c r="J153" s="37">
        <f>IF(ISBLANK(E153),0,ROUND(E153,2)*H153)</f>
        <v>0</v>
      </c>
      <c r="K153" s="37">
        <f>J153/12</f>
        <v>0</v>
      </c>
    </row>
    <row r="154" spans="1:11" x14ac:dyDescent="0.2">
      <c r="A154" s="20"/>
      <c r="B154" s="20"/>
      <c r="C154" s="68">
        <f>dagenperjaar1</f>
        <v>210</v>
      </c>
      <c r="D154" s="69" t="s">
        <v>334</v>
      </c>
      <c r="E154" s="24"/>
      <c r="F154" s="23"/>
      <c r="G154" s="70"/>
      <c r="H154" s="34">
        <f>IF(ISBLANK(G154),0,G154*C154)+IF(ISBLANK(F154),0,F154*objecturen17_1)</f>
        <v>0</v>
      </c>
      <c r="I154" s="34">
        <f>IF(C154=0,0,H154/C154)</f>
        <v>0</v>
      </c>
      <c r="J154" s="37">
        <f>IF(ISBLANK(E154),0,ROUND(E154,2)*H154)</f>
        <v>0</v>
      </c>
      <c r="K154" s="37">
        <f>J154/12</f>
        <v>0</v>
      </c>
    </row>
    <row r="155" spans="1:11" x14ac:dyDescent="0.2">
      <c r="A155" s="20"/>
      <c r="B155" s="20"/>
      <c r="C155" s="68">
        <f>dagenperjaar1</f>
        <v>210</v>
      </c>
      <c r="D155" s="69" t="s">
        <v>335</v>
      </c>
      <c r="E155" s="24"/>
      <c r="F155" s="71"/>
      <c r="G155" s="22"/>
      <c r="H155" s="34">
        <f>IF(ISBLANK(G155),0,G155*C155)+IF(ISBLANK(F155),0,F155*objecturen17_1)</f>
        <v>0</v>
      </c>
      <c r="I155" s="34">
        <f>IF(C155=0,0,H155/C155)</f>
        <v>0</v>
      </c>
      <c r="J155" s="37">
        <f>IF(ISBLANK(E155),0,ROUND(E155,2)*H155)</f>
        <v>0</v>
      </c>
      <c r="K155" s="37">
        <f>J155/12</f>
        <v>0</v>
      </c>
    </row>
    <row r="156" spans="1:11" x14ac:dyDescent="0.2">
      <c r="A156" s="25"/>
      <c r="B156" s="25"/>
      <c r="C156" s="72">
        <f>dagenperjaar1</f>
        <v>210</v>
      </c>
      <c r="D156" s="73" t="s">
        <v>335</v>
      </c>
      <c r="E156" s="29"/>
      <c r="F156" s="74"/>
      <c r="G156" s="27"/>
      <c r="H156" s="39">
        <f>IF(ISBLANK(G156),0,G156*C156)+IF(ISBLANK(F156),0,F156*objecturen17_1)</f>
        <v>0</v>
      </c>
      <c r="I156" s="39">
        <f>IF(C156=0,0,H156/C156)</f>
        <v>0</v>
      </c>
      <c r="J156" s="41">
        <f>IF(ISBLANK(E156),0,ROUND(E156,2)*H156)</f>
        <v>0</v>
      </c>
      <c r="K156" s="41">
        <f>J156/12</f>
        <v>0</v>
      </c>
    </row>
    <row r="157" spans="1:11" x14ac:dyDescent="0.2">
      <c r="A157" s="75" t="s">
        <v>368</v>
      </c>
      <c r="B157" s="43"/>
      <c r="C157" s="43"/>
      <c r="D157" s="43"/>
      <c r="E157" s="43"/>
      <c r="F157" s="43"/>
      <c r="G157" s="43"/>
      <c r="H157" s="44">
        <f>SUM(H152:H156)</f>
        <v>0</v>
      </c>
      <c r="I157" s="43"/>
      <c r="J157" s="45">
        <f>SUM(J152:J156)</f>
        <v>0</v>
      </c>
      <c r="K157" s="46">
        <f>SUM(K152:K156)</f>
        <v>0</v>
      </c>
    </row>
    <row r="158" spans="1:11" x14ac:dyDescent="0.2">
      <c r="A158" s="47"/>
      <c r="B158" s="43"/>
      <c r="C158" s="43"/>
      <c r="D158" s="43"/>
      <c r="E158" s="43"/>
      <c r="F158" s="43"/>
      <c r="G158" s="43"/>
      <c r="H158" s="43"/>
      <c r="I158" s="43"/>
      <c r="J158" s="43"/>
      <c r="K158" s="48"/>
    </row>
    <row r="159" spans="1:11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1"/>
    </row>
    <row r="160" spans="1:11" x14ac:dyDescent="0.2">
      <c r="A160" s="66" t="s">
        <v>369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4"/>
    </row>
    <row r="161" spans="1:11" x14ac:dyDescent="0.2">
      <c r="A161" s="15" t="s">
        <v>332</v>
      </c>
      <c r="B161" s="15" t="s">
        <v>12</v>
      </c>
      <c r="C161" s="16">
        <f>IF(ISBLANK(B161),0,IF(ISERROR(VALUE(B161)),VLOOKUP(B161,dagsoorttabel1,2,FALSE)*dagenperjaar1,VALUE(B161)))</f>
        <v>210</v>
      </c>
      <c r="D161" s="15" t="s">
        <v>333</v>
      </c>
      <c r="E161" s="19"/>
      <c r="F161" s="18"/>
      <c r="G161" s="67"/>
      <c r="H161" s="30">
        <f>IF(ISBLANK(G161),0,G161*C161)+IF(ISBLANK(F161),0,F161*objecturen18_1)</f>
        <v>0</v>
      </c>
      <c r="I161" s="30">
        <f>IF(C161=0,0,H161/C161)</f>
        <v>0</v>
      </c>
      <c r="J161" s="33">
        <f>IF(ISBLANK(E161),0,ROUND(E161,2)*H161)</f>
        <v>0</v>
      </c>
      <c r="K161" s="33">
        <f>J161/12</f>
        <v>0</v>
      </c>
    </row>
    <row r="162" spans="1:11" x14ac:dyDescent="0.2">
      <c r="A162" s="20"/>
      <c r="B162" s="20"/>
      <c r="C162" s="68">
        <f>dagenperjaar1</f>
        <v>210</v>
      </c>
      <c r="D162" s="69" t="s">
        <v>334</v>
      </c>
      <c r="E162" s="24"/>
      <c r="F162" s="23"/>
      <c r="G162" s="70"/>
      <c r="H162" s="34">
        <f>IF(ISBLANK(G162),0,G162*C162)+IF(ISBLANK(F162),0,F162*objecturen18_1)</f>
        <v>0</v>
      </c>
      <c r="I162" s="34">
        <f>IF(C162=0,0,H162/C162)</f>
        <v>0</v>
      </c>
      <c r="J162" s="37">
        <f>IF(ISBLANK(E162),0,ROUND(E162,2)*H162)</f>
        <v>0</v>
      </c>
      <c r="K162" s="37">
        <f>J162/12</f>
        <v>0</v>
      </c>
    </row>
    <row r="163" spans="1:11" x14ac:dyDescent="0.2">
      <c r="A163" s="20"/>
      <c r="B163" s="20"/>
      <c r="C163" s="68">
        <f>dagenperjaar1</f>
        <v>210</v>
      </c>
      <c r="D163" s="69" t="s">
        <v>334</v>
      </c>
      <c r="E163" s="24"/>
      <c r="F163" s="23"/>
      <c r="G163" s="70"/>
      <c r="H163" s="34">
        <f>IF(ISBLANK(G163),0,G163*C163)+IF(ISBLANK(F163),0,F163*objecturen18_1)</f>
        <v>0</v>
      </c>
      <c r="I163" s="34">
        <f>IF(C163=0,0,H163/C163)</f>
        <v>0</v>
      </c>
      <c r="J163" s="37">
        <f>IF(ISBLANK(E163),0,ROUND(E163,2)*H163)</f>
        <v>0</v>
      </c>
      <c r="K163" s="37">
        <f>J163/12</f>
        <v>0</v>
      </c>
    </row>
    <row r="164" spans="1:11" x14ac:dyDescent="0.2">
      <c r="A164" s="20"/>
      <c r="B164" s="20"/>
      <c r="C164" s="68">
        <f>dagenperjaar1</f>
        <v>210</v>
      </c>
      <c r="D164" s="69" t="s">
        <v>335</v>
      </c>
      <c r="E164" s="24"/>
      <c r="F164" s="71"/>
      <c r="G164" s="22"/>
      <c r="H164" s="34">
        <f>IF(ISBLANK(G164),0,G164*C164)+IF(ISBLANK(F164),0,F164*objecturen18_1)</f>
        <v>0</v>
      </c>
      <c r="I164" s="34">
        <f>IF(C164=0,0,H164/C164)</f>
        <v>0</v>
      </c>
      <c r="J164" s="37">
        <f>IF(ISBLANK(E164),0,ROUND(E164,2)*H164)</f>
        <v>0</v>
      </c>
      <c r="K164" s="37">
        <f>J164/12</f>
        <v>0</v>
      </c>
    </row>
    <row r="165" spans="1:11" x14ac:dyDescent="0.2">
      <c r="A165" s="25"/>
      <c r="B165" s="25"/>
      <c r="C165" s="72">
        <f>dagenperjaar1</f>
        <v>210</v>
      </c>
      <c r="D165" s="73" t="s">
        <v>335</v>
      </c>
      <c r="E165" s="29"/>
      <c r="F165" s="74"/>
      <c r="G165" s="27"/>
      <c r="H165" s="39">
        <f>IF(ISBLANK(G165),0,G165*C165)+IF(ISBLANK(F165),0,F165*objecturen18_1)</f>
        <v>0</v>
      </c>
      <c r="I165" s="39">
        <f>IF(C165=0,0,H165/C165)</f>
        <v>0</v>
      </c>
      <c r="J165" s="41">
        <f>IF(ISBLANK(E165),0,ROUND(E165,2)*H165)</f>
        <v>0</v>
      </c>
      <c r="K165" s="41">
        <f>J165/12</f>
        <v>0</v>
      </c>
    </row>
    <row r="166" spans="1:11" x14ac:dyDescent="0.2">
      <c r="A166" s="75" t="s">
        <v>370</v>
      </c>
      <c r="B166" s="43"/>
      <c r="C166" s="43"/>
      <c r="D166" s="43"/>
      <c r="E166" s="43"/>
      <c r="F166" s="43"/>
      <c r="G166" s="43"/>
      <c r="H166" s="44">
        <f>SUM(H161:H165)</f>
        <v>0</v>
      </c>
      <c r="I166" s="43"/>
      <c r="J166" s="45">
        <f>SUM(J161:J165)</f>
        <v>0</v>
      </c>
      <c r="K166" s="46">
        <f>SUM(K161:K165)</f>
        <v>0</v>
      </c>
    </row>
    <row r="167" spans="1:11" x14ac:dyDescent="0.2">
      <c r="A167" s="47"/>
      <c r="B167" s="43"/>
      <c r="C167" s="43"/>
      <c r="D167" s="43"/>
      <c r="E167" s="43"/>
      <c r="F167" s="43"/>
      <c r="G167" s="43"/>
      <c r="H167" s="43"/>
      <c r="I167" s="43"/>
      <c r="J167" s="43"/>
      <c r="K167" s="48"/>
    </row>
    <row r="168" spans="1:11" x14ac:dyDescent="0.2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1"/>
    </row>
    <row r="169" spans="1:11" x14ac:dyDescent="0.2">
      <c r="A169" s="66" t="s">
        <v>371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4"/>
    </row>
    <row r="170" spans="1:11" x14ac:dyDescent="0.2">
      <c r="A170" s="15" t="s">
        <v>332</v>
      </c>
      <c r="B170" s="15" t="s">
        <v>12</v>
      </c>
      <c r="C170" s="16">
        <f>IF(ISBLANK(B170),0,IF(ISERROR(VALUE(B170)),VLOOKUP(B170,dagsoorttabel1,2,FALSE)*dagenperjaar1,VALUE(B170)))</f>
        <v>210</v>
      </c>
      <c r="D170" s="15" t="s">
        <v>333</v>
      </c>
      <c r="E170" s="19"/>
      <c r="F170" s="18"/>
      <c r="G170" s="67"/>
      <c r="H170" s="30">
        <f>IF(ISBLANK(G170),0,G170*C170)+IF(ISBLANK(F170),0,F170*objecturen19_1)</f>
        <v>0</v>
      </c>
      <c r="I170" s="30">
        <f>IF(C170=0,0,H170/C170)</f>
        <v>0</v>
      </c>
      <c r="J170" s="33">
        <f>IF(ISBLANK(E170),0,ROUND(E170,2)*H170)</f>
        <v>0</v>
      </c>
      <c r="K170" s="33">
        <f>J170/12</f>
        <v>0</v>
      </c>
    </row>
    <row r="171" spans="1:11" x14ac:dyDescent="0.2">
      <c r="A171" s="20"/>
      <c r="B171" s="20"/>
      <c r="C171" s="68">
        <f>dagenperjaar1</f>
        <v>210</v>
      </c>
      <c r="D171" s="69" t="s">
        <v>334</v>
      </c>
      <c r="E171" s="24"/>
      <c r="F171" s="23"/>
      <c r="G171" s="70"/>
      <c r="H171" s="34">
        <f>IF(ISBLANK(G171),0,G171*C171)+IF(ISBLANK(F171),0,F171*objecturen19_1)</f>
        <v>0</v>
      </c>
      <c r="I171" s="34">
        <f>IF(C171=0,0,H171/C171)</f>
        <v>0</v>
      </c>
      <c r="J171" s="37">
        <f>IF(ISBLANK(E171),0,ROUND(E171,2)*H171)</f>
        <v>0</v>
      </c>
      <c r="K171" s="37">
        <f>J171/12</f>
        <v>0</v>
      </c>
    </row>
    <row r="172" spans="1:11" x14ac:dyDescent="0.2">
      <c r="A172" s="20"/>
      <c r="B172" s="20"/>
      <c r="C172" s="68">
        <f>dagenperjaar1</f>
        <v>210</v>
      </c>
      <c r="D172" s="69" t="s">
        <v>334</v>
      </c>
      <c r="E172" s="24"/>
      <c r="F172" s="23"/>
      <c r="G172" s="70"/>
      <c r="H172" s="34">
        <f>IF(ISBLANK(G172),0,G172*C172)+IF(ISBLANK(F172),0,F172*objecturen19_1)</f>
        <v>0</v>
      </c>
      <c r="I172" s="34">
        <f>IF(C172=0,0,H172/C172)</f>
        <v>0</v>
      </c>
      <c r="J172" s="37">
        <f>IF(ISBLANK(E172),0,ROUND(E172,2)*H172)</f>
        <v>0</v>
      </c>
      <c r="K172" s="37">
        <f>J172/12</f>
        <v>0</v>
      </c>
    </row>
    <row r="173" spans="1:11" x14ac:dyDescent="0.2">
      <c r="A173" s="20"/>
      <c r="B173" s="20"/>
      <c r="C173" s="68">
        <f>dagenperjaar1</f>
        <v>210</v>
      </c>
      <c r="D173" s="69" t="s">
        <v>335</v>
      </c>
      <c r="E173" s="24"/>
      <c r="F173" s="71"/>
      <c r="G173" s="22"/>
      <c r="H173" s="34">
        <f>IF(ISBLANK(G173),0,G173*C173)+IF(ISBLANK(F173),0,F173*objecturen19_1)</f>
        <v>0</v>
      </c>
      <c r="I173" s="34">
        <f>IF(C173=0,0,H173/C173)</f>
        <v>0</v>
      </c>
      <c r="J173" s="37">
        <f>IF(ISBLANK(E173),0,ROUND(E173,2)*H173)</f>
        <v>0</v>
      </c>
      <c r="K173" s="37">
        <f>J173/12</f>
        <v>0</v>
      </c>
    </row>
    <row r="174" spans="1:11" x14ac:dyDescent="0.2">
      <c r="A174" s="25"/>
      <c r="B174" s="25"/>
      <c r="C174" s="72">
        <f>dagenperjaar1</f>
        <v>210</v>
      </c>
      <c r="D174" s="73" t="s">
        <v>335</v>
      </c>
      <c r="E174" s="29"/>
      <c r="F174" s="74"/>
      <c r="G174" s="27"/>
      <c r="H174" s="39">
        <f>IF(ISBLANK(G174),0,G174*C174)+IF(ISBLANK(F174),0,F174*objecturen19_1)</f>
        <v>0</v>
      </c>
      <c r="I174" s="39">
        <f>IF(C174=0,0,H174/C174)</f>
        <v>0</v>
      </c>
      <c r="J174" s="41">
        <f>IF(ISBLANK(E174),0,ROUND(E174,2)*H174)</f>
        <v>0</v>
      </c>
      <c r="K174" s="41">
        <f>J174/12</f>
        <v>0</v>
      </c>
    </row>
    <row r="175" spans="1:11" x14ac:dyDescent="0.2">
      <c r="A175" s="75" t="s">
        <v>372</v>
      </c>
      <c r="B175" s="43"/>
      <c r="C175" s="43"/>
      <c r="D175" s="43"/>
      <c r="E175" s="43"/>
      <c r="F175" s="43"/>
      <c r="G175" s="43"/>
      <c r="H175" s="44">
        <f>SUM(H170:H174)</f>
        <v>0</v>
      </c>
      <c r="I175" s="43"/>
      <c r="J175" s="45">
        <f>SUM(J170:J174)</f>
        <v>0</v>
      </c>
      <c r="K175" s="46">
        <f>SUM(K170:K174)</f>
        <v>0</v>
      </c>
    </row>
    <row r="176" spans="1:11" x14ac:dyDescent="0.2">
      <c r="A176" s="47"/>
      <c r="B176" s="43"/>
      <c r="C176" s="43"/>
      <c r="D176" s="43"/>
      <c r="E176" s="43"/>
      <c r="F176" s="43"/>
      <c r="G176" s="43"/>
      <c r="H176" s="43"/>
      <c r="I176" s="43"/>
      <c r="J176" s="43"/>
      <c r="K176" s="48"/>
    </row>
    <row r="177" spans="1:11" x14ac:dyDescent="0.2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1"/>
    </row>
    <row r="178" spans="1:11" x14ac:dyDescent="0.2">
      <c r="A178" s="66" t="s">
        <v>373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4"/>
    </row>
    <row r="179" spans="1:11" x14ac:dyDescent="0.2">
      <c r="A179" s="15" t="s">
        <v>332</v>
      </c>
      <c r="B179" s="15" t="s">
        <v>12</v>
      </c>
      <c r="C179" s="16">
        <f>IF(ISBLANK(B179),0,IF(ISERROR(VALUE(B179)),VLOOKUP(B179,dagsoorttabel1,2,FALSE)*dagenperjaar1,VALUE(B179)))</f>
        <v>210</v>
      </c>
      <c r="D179" s="15" t="s">
        <v>333</v>
      </c>
      <c r="E179" s="19"/>
      <c r="F179" s="18"/>
      <c r="G179" s="67"/>
      <c r="H179" s="30">
        <f>IF(ISBLANK(G179),0,G179*C179)+IF(ISBLANK(F179),0,F179*objecturen20_1)</f>
        <v>0</v>
      </c>
      <c r="I179" s="30">
        <f>IF(C179=0,0,H179/C179)</f>
        <v>0</v>
      </c>
      <c r="J179" s="33">
        <f>IF(ISBLANK(E179),0,ROUND(E179,2)*H179)</f>
        <v>0</v>
      </c>
      <c r="K179" s="33">
        <f>J179/12</f>
        <v>0</v>
      </c>
    </row>
    <row r="180" spans="1:11" x14ac:dyDescent="0.2">
      <c r="A180" s="20"/>
      <c r="B180" s="20"/>
      <c r="C180" s="68">
        <f>dagenperjaar1</f>
        <v>210</v>
      </c>
      <c r="D180" s="69" t="s">
        <v>334</v>
      </c>
      <c r="E180" s="24"/>
      <c r="F180" s="23"/>
      <c r="G180" s="70"/>
      <c r="H180" s="34">
        <f>IF(ISBLANK(G180),0,G180*C180)+IF(ISBLANK(F180),0,F180*objecturen20_1)</f>
        <v>0</v>
      </c>
      <c r="I180" s="34">
        <f>IF(C180=0,0,H180/C180)</f>
        <v>0</v>
      </c>
      <c r="J180" s="37">
        <f>IF(ISBLANK(E180),0,ROUND(E180,2)*H180)</f>
        <v>0</v>
      </c>
      <c r="K180" s="37">
        <f>J180/12</f>
        <v>0</v>
      </c>
    </row>
    <row r="181" spans="1:11" x14ac:dyDescent="0.2">
      <c r="A181" s="20"/>
      <c r="B181" s="20"/>
      <c r="C181" s="68">
        <f>dagenperjaar1</f>
        <v>210</v>
      </c>
      <c r="D181" s="69" t="s">
        <v>334</v>
      </c>
      <c r="E181" s="24"/>
      <c r="F181" s="23"/>
      <c r="G181" s="70"/>
      <c r="H181" s="34">
        <f>IF(ISBLANK(G181),0,G181*C181)+IF(ISBLANK(F181),0,F181*objecturen20_1)</f>
        <v>0</v>
      </c>
      <c r="I181" s="34">
        <f>IF(C181=0,0,H181/C181)</f>
        <v>0</v>
      </c>
      <c r="J181" s="37">
        <f>IF(ISBLANK(E181),0,ROUND(E181,2)*H181)</f>
        <v>0</v>
      </c>
      <c r="K181" s="37">
        <f>J181/12</f>
        <v>0</v>
      </c>
    </row>
    <row r="182" spans="1:11" x14ac:dyDescent="0.2">
      <c r="A182" s="20"/>
      <c r="B182" s="20"/>
      <c r="C182" s="68">
        <f>dagenperjaar1</f>
        <v>210</v>
      </c>
      <c r="D182" s="69" t="s">
        <v>335</v>
      </c>
      <c r="E182" s="24"/>
      <c r="F182" s="71"/>
      <c r="G182" s="22"/>
      <c r="H182" s="34">
        <f>IF(ISBLANK(G182),0,G182*C182)+IF(ISBLANK(F182),0,F182*objecturen20_1)</f>
        <v>0</v>
      </c>
      <c r="I182" s="34">
        <f>IF(C182=0,0,H182/C182)</f>
        <v>0</v>
      </c>
      <c r="J182" s="37">
        <f>IF(ISBLANK(E182),0,ROUND(E182,2)*H182)</f>
        <v>0</v>
      </c>
      <c r="K182" s="37">
        <f>J182/12</f>
        <v>0</v>
      </c>
    </row>
    <row r="183" spans="1:11" x14ac:dyDescent="0.2">
      <c r="A183" s="25"/>
      <c r="B183" s="25"/>
      <c r="C183" s="72">
        <f>dagenperjaar1</f>
        <v>210</v>
      </c>
      <c r="D183" s="73" t="s">
        <v>335</v>
      </c>
      <c r="E183" s="29"/>
      <c r="F183" s="74"/>
      <c r="G183" s="27"/>
      <c r="H183" s="39">
        <f>IF(ISBLANK(G183),0,G183*C183)+IF(ISBLANK(F183),0,F183*objecturen20_1)</f>
        <v>0</v>
      </c>
      <c r="I183" s="39">
        <f>IF(C183=0,0,H183/C183)</f>
        <v>0</v>
      </c>
      <c r="J183" s="41">
        <f>IF(ISBLANK(E183),0,ROUND(E183,2)*H183)</f>
        <v>0</v>
      </c>
      <c r="K183" s="41">
        <f>J183/12</f>
        <v>0</v>
      </c>
    </row>
    <row r="184" spans="1:11" x14ac:dyDescent="0.2">
      <c r="A184" s="75" t="s">
        <v>374</v>
      </c>
      <c r="B184" s="43"/>
      <c r="C184" s="43"/>
      <c r="D184" s="43"/>
      <c r="E184" s="43"/>
      <c r="F184" s="43"/>
      <c r="G184" s="43"/>
      <c r="H184" s="44">
        <f>SUM(H179:H183)</f>
        <v>0</v>
      </c>
      <c r="I184" s="43"/>
      <c r="J184" s="45">
        <f>SUM(J179:J183)</f>
        <v>0</v>
      </c>
      <c r="K184" s="46">
        <f>SUM(K179:K183)</f>
        <v>0</v>
      </c>
    </row>
    <row r="185" spans="1:11" x14ac:dyDescent="0.2">
      <c r="A185" s="47"/>
      <c r="B185" s="43"/>
      <c r="C185" s="43"/>
      <c r="D185" s="43"/>
      <c r="E185" s="43"/>
      <c r="F185" s="43"/>
      <c r="G185" s="43"/>
      <c r="H185" s="43"/>
      <c r="I185" s="43"/>
      <c r="J185" s="43"/>
      <c r="K185" s="48"/>
    </row>
    <row r="186" spans="1:11" x14ac:dyDescent="0.2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1"/>
    </row>
    <row r="187" spans="1:11" x14ac:dyDescent="0.2">
      <c r="A187" s="66" t="s">
        <v>375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4"/>
    </row>
    <row r="188" spans="1:11" x14ac:dyDescent="0.2">
      <c r="A188" s="15" t="s">
        <v>332</v>
      </c>
      <c r="B188" s="15" t="s">
        <v>12</v>
      </c>
      <c r="C188" s="16">
        <f>IF(ISBLANK(B188),0,IF(ISERROR(VALUE(B188)),VLOOKUP(B188,dagsoorttabel1,2,FALSE)*dagenperjaar1,VALUE(B188)))</f>
        <v>210</v>
      </c>
      <c r="D188" s="15" t="s">
        <v>333</v>
      </c>
      <c r="E188" s="19"/>
      <c r="F188" s="18"/>
      <c r="G188" s="67"/>
      <c r="H188" s="30">
        <f>IF(ISBLANK(G188),0,G188*C188)+IF(ISBLANK(F188),0,F188*objecturen21_1)</f>
        <v>0</v>
      </c>
      <c r="I188" s="30">
        <f>IF(C188=0,0,H188/C188)</f>
        <v>0</v>
      </c>
      <c r="J188" s="33">
        <f>IF(ISBLANK(E188),0,ROUND(E188,2)*H188)</f>
        <v>0</v>
      </c>
      <c r="K188" s="33">
        <f>J188/12</f>
        <v>0</v>
      </c>
    </row>
    <row r="189" spans="1:11" x14ac:dyDescent="0.2">
      <c r="A189" s="20"/>
      <c r="B189" s="20"/>
      <c r="C189" s="68">
        <f>dagenperjaar1</f>
        <v>210</v>
      </c>
      <c r="D189" s="69" t="s">
        <v>334</v>
      </c>
      <c r="E189" s="24"/>
      <c r="F189" s="23"/>
      <c r="G189" s="70"/>
      <c r="H189" s="34">
        <f>IF(ISBLANK(G189),0,G189*C189)+IF(ISBLANK(F189),0,F189*objecturen21_1)</f>
        <v>0</v>
      </c>
      <c r="I189" s="34">
        <f>IF(C189=0,0,H189/C189)</f>
        <v>0</v>
      </c>
      <c r="J189" s="37">
        <f>IF(ISBLANK(E189),0,ROUND(E189,2)*H189)</f>
        <v>0</v>
      </c>
      <c r="K189" s="37">
        <f>J189/12</f>
        <v>0</v>
      </c>
    </row>
    <row r="190" spans="1:11" x14ac:dyDescent="0.2">
      <c r="A190" s="20"/>
      <c r="B190" s="20"/>
      <c r="C190" s="68">
        <f>dagenperjaar1</f>
        <v>210</v>
      </c>
      <c r="D190" s="69" t="s">
        <v>334</v>
      </c>
      <c r="E190" s="24"/>
      <c r="F190" s="23"/>
      <c r="G190" s="70"/>
      <c r="H190" s="34">
        <f>IF(ISBLANK(G190),0,G190*C190)+IF(ISBLANK(F190),0,F190*objecturen21_1)</f>
        <v>0</v>
      </c>
      <c r="I190" s="34">
        <f>IF(C190=0,0,H190/C190)</f>
        <v>0</v>
      </c>
      <c r="J190" s="37">
        <f>IF(ISBLANK(E190),0,ROUND(E190,2)*H190)</f>
        <v>0</v>
      </c>
      <c r="K190" s="37">
        <f>J190/12</f>
        <v>0</v>
      </c>
    </row>
    <row r="191" spans="1:11" x14ac:dyDescent="0.2">
      <c r="A191" s="20"/>
      <c r="B191" s="20"/>
      <c r="C191" s="68">
        <f>dagenperjaar1</f>
        <v>210</v>
      </c>
      <c r="D191" s="69" t="s">
        <v>335</v>
      </c>
      <c r="E191" s="24"/>
      <c r="F191" s="71"/>
      <c r="G191" s="22"/>
      <c r="H191" s="34">
        <f>IF(ISBLANK(G191),0,G191*C191)+IF(ISBLANK(F191),0,F191*objecturen21_1)</f>
        <v>0</v>
      </c>
      <c r="I191" s="34">
        <f>IF(C191=0,0,H191/C191)</f>
        <v>0</v>
      </c>
      <c r="J191" s="37">
        <f>IF(ISBLANK(E191),0,ROUND(E191,2)*H191)</f>
        <v>0</v>
      </c>
      <c r="K191" s="37">
        <f>J191/12</f>
        <v>0</v>
      </c>
    </row>
    <row r="192" spans="1:11" x14ac:dyDescent="0.2">
      <c r="A192" s="25"/>
      <c r="B192" s="25"/>
      <c r="C192" s="72">
        <f>dagenperjaar1</f>
        <v>210</v>
      </c>
      <c r="D192" s="73" t="s">
        <v>335</v>
      </c>
      <c r="E192" s="29"/>
      <c r="F192" s="74"/>
      <c r="G192" s="27"/>
      <c r="H192" s="39">
        <f>IF(ISBLANK(G192),0,G192*C192)+IF(ISBLANK(F192),0,F192*objecturen21_1)</f>
        <v>0</v>
      </c>
      <c r="I192" s="39">
        <f>IF(C192=0,0,H192/C192)</f>
        <v>0</v>
      </c>
      <c r="J192" s="41">
        <f>IF(ISBLANK(E192),0,ROUND(E192,2)*H192)</f>
        <v>0</v>
      </c>
      <c r="K192" s="41">
        <f>J192/12</f>
        <v>0</v>
      </c>
    </row>
    <row r="193" spans="1:11" x14ac:dyDescent="0.2">
      <c r="A193" s="75" t="s">
        <v>376</v>
      </c>
      <c r="B193" s="43"/>
      <c r="C193" s="43"/>
      <c r="D193" s="43"/>
      <c r="E193" s="43"/>
      <c r="F193" s="43"/>
      <c r="G193" s="43"/>
      <c r="H193" s="44">
        <f>SUM(H188:H192)</f>
        <v>0</v>
      </c>
      <c r="I193" s="43"/>
      <c r="J193" s="45">
        <f>SUM(J188:J192)</f>
        <v>0</v>
      </c>
      <c r="K193" s="46">
        <f>SUM(K188:K192)</f>
        <v>0</v>
      </c>
    </row>
    <row r="194" spans="1:11" x14ac:dyDescent="0.2">
      <c r="A194" s="47"/>
      <c r="B194" s="43"/>
      <c r="C194" s="43"/>
      <c r="D194" s="43"/>
      <c r="E194" s="43"/>
      <c r="F194" s="43"/>
      <c r="G194" s="43"/>
      <c r="H194" s="43"/>
      <c r="I194" s="43"/>
      <c r="J194" s="43"/>
      <c r="K194" s="48"/>
    </row>
    <row r="195" spans="1:11" x14ac:dyDescent="0.2">
      <c r="A195" s="42" t="s">
        <v>205</v>
      </c>
      <c r="B195" s="43"/>
      <c r="C195" s="43"/>
      <c r="D195" s="43"/>
      <c r="E195" s="43"/>
      <c r="F195" s="43"/>
      <c r="G195" s="43"/>
      <c r="H195" s="44">
        <f>tzujt1_1+tzujt2_1+tzujt3_1+tzujt4_1+tzujt5_1+tzujt6_1+tzujt7_1+tzujt8_1+tzujt9_1+tzujt10_1+tzujt11_1+tzujt12_1+tzujt13_1+tzujt14_1+tzujt15_1+tzujt16_1+tzujt17_1+tzujt18_1+tzujt19_1+tzujt20_1+tzujt21_1</f>
        <v>0</v>
      </c>
      <c r="I195" s="43"/>
      <c r="J195" s="45">
        <f>tzpjt1_1+tzpjt2_1+tzpjt3_1+tzpjt4_1+tzpjt5_1+tzpjt6_1+tzpjt7_1+tzpjt8_1+tzpjt9_1+tzpjt10_1+tzpjt11_1+tzpjt12_1+tzpjt13_1+tzpjt14_1+tzpjt15_1+tzpjt16_1+tzpjt17_1+tzpjt18_1+tzpjt19_1+tzpjt20_1+tzpjt21_1</f>
        <v>0</v>
      </c>
      <c r="K195" s="46">
        <f>tzpmt1_1+tzpmt2_1+tzpmt3_1+tzpmt4_1+tzpmt5_1+tzpmt6_1+tzpmt7_1+tzpmt8_1+tzpmt9_1+tzpmt10_1+tzpmt11_1+tzpmt12_1+tzpmt13_1+tzpmt14_1+tzpmt15_1+tzpmt16_1+tzpmt17_1+tzpmt18_1+tzpmt19_1+tzpmt20_1+tzpmt21_1</f>
        <v>0</v>
      </c>
    </row>
    <row r="196" spans="1:11" x14ac:dyDescent="0.2">
      <c r="A196" s="47"/>
      <c r="B196" s="43"/>
      <c r="C196" s="43"/>
      <c r="D196" s="43"/>
      <c r="E196" s="43"/>
      <c r="F196" s="43"/>
      <c r="G196" s="43"/>
      <c r="H196" s="43"/>
      <c r="I196" s="43"/>
      <c r="J196" s="43"/>
      <c r="K196" s="48"/>
    </row>
    <row r="198" spans="1:11" x14ac:dyDescent="0.2">
      <c r="A198" s="42" t="s">
        <v>377</v>
      </c>
      <c r="B198" s="43"/>
      <c r="C198" s="43"/>
      <c r="D198" s="43"/>
      <c r="E198" s="43"/>
      <c r="F198" s="43"/>
      <c r="G198" s="43"/>
      <c r="H198" s="44">
        <f>tzujt1</f>
        <v>0</v>
      </c>
      <c r="I198" s="43"/>
      <c r="J198" s="45">
        <f>tzpjt1</f>
        <v>0</v>
      </c>
      <c r="K198" s="45">
        <f>tzpmt1</f>
        <v>0</v>
      </c>
    </row>
    <row r="200" spans="1:11" x14ac:dyDescent="0.2">
      <c r="A200" s="42" t="s">
        <v>378</v>
      </c>
      <c r="B200" s="43"/>
      <c r="C200" s="43"/>
      <c r="D200" s="43"/>
      <c r="E200" s="43"/>
      <c r="F200" s="43"/>
      <c r="G200" s="43"/>
      <c r="H200" s="43"/>
      <c r="I200" s="43"/>
      <c r="J200" s="45">
        <f>J198*1.21</f>
        <v>0</v>
      </c>
      <c r="K200" s="45">
        <f>K198*1.21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8844-2F60-4B58-9370-1EA5A81222B9}">
  <dimension ref="A1:L2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I.5: ",tabeltype," totaalblad objecten")</f>
        <v>Bijlage I.5: Invultabel totaalblad objecten</v>
      </c>
    </row>
    <row r="3" spans="1:12" ht="38.25" x14ac:dyDescent="0.2">
      <c r="A3" s="8" t="s">
        <v>237</v>
      </c>
      <c r="B3" s="8" t="s">
        <v>238</v>
      </c>
      <c r="C3" s="8" t="s">
        <v>239</v>
      </c>
      <c r="D3" s="8" t="s">
        <v>240</v>
      </c>
      <c r="E3" s="8" t="s">
        <v>250</v>
      </c>
      <c r="F3" s="8" t="s">
        <v>127</v>
      </c>
      <c r="G3" s="8" t="s">
        <v>379</v>
      </c>
      <c r="H3" s="8" t="s">
        <v>380</v>
      </c>
      <c r="I3" s="8" t="s">
        <v>381</v>
      </c>
      <c r="J3" s="8" t="s">
        <v>382</v>
      </c>
      <c r="K3" s="8" t="s">
        <v>383</v>
      </c>
      <c r="L3" s="8" t="s">
        <v>384</v>
      </c>
    </row>
    <row r="4" spans="1:12" x14ac:dyDescent="0.2">
      <c r="A4" s="15" t="s">
        <v>253</v>
      </c>
      <c r="B4" s="15" t="s">
        <v>254</v>
      </c>
      <c r="C4" s="15" t="s">
        <v>255</v>
      </c>
      <c r="D4" s="15" t="s">
        <v>256</v>
      </c>
      <c r="E4" s="30">
        <f>objecturenhf1_1</f>
        <v>0</v>
      </c>
      <c r="F4" s="30">
        <f>objecturen1_1</f>
        <v>0</v>
      </c>
      <c r="G4" s="33">
        <f>objectprijs1_1</f>
        <v>0</v>
      </c>
      <c r="H4" s="30">
        <f>tzujt1_1</f>
        <v>0</v>
      </c>
      <c r="I4" s="33">
        <f>tzpjt1_1</f>
        <v>0</v>
      </c>
      <c r="J4" s="33">
        <f>G4+I4</f>
        <v>0</v>
      </c>
      <c r="K4" s="33">
        <f>J4/12</f>
        <v>0</v>
      </c>
      <c r="L4" s="33">
        <f>K4*1.21</f>
        <v>0</v>
      </c>
    </row>
    <row r="5" spans="1:12" x14ac:dyDescent="0.2">
      <c r="A5" s="20" t="s">
        <v>257</v>
      </c>
      <c r="B5" s="20" t="s">
        <v>258</v>
      </c>
      <c r="C5" s="20" t="s">
        <v>259</v>
      </c>
      <c r="D5" s="20" t="s">
        <v>260</v>
      </c>
      <c r="E5" s="34">
        <f>objecturenhf2_1</f>
        <v>0</v>
      </c>
      <c r="F5" s="34">
        <f>objecturen2_1</f>
        <v>0</v>
      </c>
      <c r="G5" s="37">
        <f>objectprijs2_1</f>
        <v>0</v>
      </c>
      <c r="H5" s="34">
        <f>tzujt2_1</f>
        <v>0</v>
      </c>
      <c r="I5" s="37">
        <f>tzpjt2_1</f>
        <v>0</v>
      </c>
      <c r="J5" s="37">
        <f>G5+I5</f>
        <v>0</v>
      </c>
      <c r="K5" s="37">
        <f>J5/12</f>
        <v>0</v>
      </c>
      <c r="L5" s="37">
        <f>K5*1.21</f>
        <v>0</v>
      </c>
    </row>
    <row r="6" spans="1:12" x14ac:dyDescent="0.2">
      <c r="A6" s="20" t="s">
        <v>261</v>
      </c>
      <c r="B6" s="20" t="s">
        <v>262</v>
      </c>
      <c r="C6" s="20" t="s">
        <v>263</v>
      </c>
      <c r="D6" s="20" t="s">
        <v>260</v>
      </c>
      <c r="E6" s="34">
        <f>objecturenhf3_1</f>
        <v>0</v>
      </c>
      <c r="F6" s="34">
        <f>objecturen3_1</f>
        <v>0</v>
      </c>
      <c r="G6" s="37">
        <f>objectprijs3_1</f>
        <v>0</v>
      </c>
      <c r="H6" s="34">
        <f>tzujt3_1</f>
        <v>0</v>
      </c>
      <c r="I6" s="37">
        <f>tzpjt3_1</f>
        <v>0</v>
      </c>
      <c r="J6" s="37">
        <f>G6+I6</f>
        <v>0</v>
      </c>
      <c r="K6" s="37">
        <f>J6/12</f>
        <v>0</v>
      </c>
      <c r="L6" s="37">
        <f>K6*1.21</f>
        <v>0</v>
      </c>
    </row>
    <row r="7" spans="1:12" x14ac:dyDescent="0.2">
      <c r="A7" s="20" t="s">
        <v>264</v>
      </c>
      <c r="B7" s="20" t="s">
        <v>265</v>
      </c>
      <c r="C7" s="20" t="s">
        <v>266</v>
      </c>
      <c r="D7" s="20" t="s">
        <v>260</v>
      </c>
      <c r="E7" s="34">
        <f>objecturenhf4_1</f>
        <v>0</v>
      </c>
      <c r="F7" s="34">
        <f>objecturen4_1</f>
        <v>69.300000000000011</v>
      </c>
      <c r="G7" s="37">
        <f>objectprijs4_1</f>
        <v>0</v>
      </c>
      <c r="H7" s="34">
        <f>tzujt4_1</f>
        <v>0</v>
      </c>
      <c r="I7" s="37">
        <f>tzpjt4_1</f>
        <v>0</v>
      </c>
      <c r="J7" s="37">
        <f>G7+I7</f>
        <v>0</v>
      </c>
      <c r="K7" s="37">
        <f>J7/12</f>
        <v>0</v>
      </c>
      <c r="L7" s="37">
        <f>K7*1.21</f>
        <v>0</v>
      </c>
    </row>
    <row r="8" spans="1:12" x14ac:dyDescent="0.2">
      <c r="A8" s="20" t="s">
        <v>267</v>
      </c>
      <c r="B8" s="20" t="s">
        <v>268</v>
      </c>
      <c r="C8" s="20" t="s">
        <v>269</v>
      </c>
      <c r="D8" s="20" t="s">
        <v>260</v>
      </c>
      <c r="E8" s="34">
        <f>objecturenhf5_1</f>
        <v>0</v>
      </c>
      <c r="F8" s="34">
        <f>objecturen5_1</f>
        <v>0</v>
      </c>
      <c r="G8" s="37">
        <f>objectprijs5_1</f>
        <v>0</v>
      </c>
      <c r="H8" s="34">
        <f>tzujt5_1</f>
        <v>0</v>
      </c>
      <c r="I8" s="37">
        <f>tzpjt5_1</f>
        <v>0</v>
      </c>
      <c r="J8" s="37">
        <f>G8+I8</f>
        <v>0</v>
      </c>
      <c r="K8" s="37">
        <f>J8/12</f>
        <v>0</v>
      </c>
      <c r="L8" s="37">
        <f>K8*1.21</f>
        <v>0</v>
      </c>
    </row>
    <row r="9" spans="1:12" x14ac:dyDescent="0.2">
      <c r="A9" s="20" t="s">
        <v>270</v>
      </c>
      <c r="B9" s="20" t="s">
        <v>271</v>
      </c>
      <c r="C9" s="20" t="s">
        <v>272</v>
      </c>
      <c r="D9" s="20" t="s">
        <v>260</v>
      </c>
      <c r="E9" s="34">
        <f>objecturenhf6_1</f>
        <v>0</v>
      </c>
      <c r="F9" s="34">
        <f>objecturen6_1</f>
        <v>0</v>
      </c>
      <c r="G9" s="37">
        <f>objectprijs6_1</f>
        <v>0</v>
      </c>
      <c r="H9" s="34">
        <f>tzujt6_1</f>
        <v>0</v>
      </c>
      <c r="I9" s="37">
        <f>tzpjt6_1</f>
        <v>0</v>
      </c>
      <c r="J9" s="37">
        <f>G9+I9</f>
        <v>0</v>
      </c>
      <c r="K9" s="37">
        <f>J9/12</f>
        <v>0</v>
      </c>
      <c r="L9" s="37">
        <f>K9*1.21</f>
        <v>0</v>
      </c>
    </row>
    <row r="10" spans="1:12" x14ac:dyDescent="0.2">
      <c r="A10" s="20" t="s">
        <v>273</v>
      </c>
      <c r="B10" s="20" t="s">
        <v>274</v>
      </c>
      <c r="C10" s="20" t="s">
        <v>275</v>
      </c>
      <c r="D10" s="20" t="s">
        <v>260</v>
      </c>
      <c r="E10" s="34">
        <f>objecturenhf7_1</f>
        <v>0</v>
      </c>
      <c r="F10" s="34">
        <f>objecturen7_1</f>
        <v>0</v>
      </c>
      <c r="G10" s="37">
        <f>objectprijs7_1</f>
        <v>0</v>
      </c>
      <c r="H10" s="34">
        <f>tzujt7_1</f>
        <v>0</v>
      </c>
      <c r="I10" s="37">
        <f>tzpjt7_1</f>
        <v>0</v>
      </c>
      <c r="J10" s="37">
        <f>G10+I10</f>
        <v>0</v>
      </c>
      <c r="K10" s="37">
        <f>J10/12</f>
        <v>0</v>
      </c>
      <c r="L10" s="37">
        <f>K10*1.21</f>
        <v>0</v>
      </c>
    </row>
    <row r="11" spans="1:12" x14ac:dyDescent="0.2">
      <c r="A11" s="20" t="s">
        <v>276</v>
      </c>
      <c r="B11" s="20" t="s">
        <v>277</v>
      </c>
      <c r="C11" s="20" t="s">
        <v>278</v>
      </c>
      <c r="D11" s="20" t="s">
        <v>260</v>
      </c>
      <c r="E11" s="34">
        <f>objecturenhf8_1</f>
        <v>0</v>
      </c>
      <c r="F11" s="34">
        <f>objecturen8_1</f>
        <v>800</v>
      </c>
      <c r="G11" s="37">
        <f>objectprijs8_1</f>
        <v>0</v>
      </c>
      <c r="H11" s="34">
        <f>tzujt8_1</f>
        <v>0</v>
      </c>
      <c r="I11" s="37">
        <f>tzpjt8_1</f>
        <v>0</v>
      </c>
      <c r="J11" s="37">
        <f>G11+I11</f>
        <v>0</v>
      </c>
      <c r="K11" s="37">
        <f>J11/12</f>
        <v>0</v>
      </c>
      <c r="L11" s="37">
        <f>K11*1.21</f>
        <v>0</v>
      </c>
    </row>
    <row r="12" spans="1:12" x14ac:dyDescent="0.2">
      <c r="A12" s="20" t="s">
        <v>279</v>
      </c>
      <c r="B12" s="20" t="s">
        <v>280</v>
      </c>
      <c r="C12" s="20" t="s">
        <v>281</v>
      </c>
      <c r="D12" s="20" t="s">
        <v>260</v>
      </c>
      <c r="E12" s="34">
        <f>objecturenhf9_1</f>
        <v>0</v>
      </c>
      <c r="F12" s="34">
        <f>objecturen9_1</f>
        <v>0</v>
      </c>
      <c r="G12" s="37">
        <f>objectprijs9_1</f>
        <v>0</v>
      </c>
      <c r="H12" s="34">
        <f>tzujt9_1</f>
        <v>0</v>
      </c>
      <c r="I12" s="37">
        <f>tzpjt9_1</f>
        <v>0</v>
      </c>
      <c r="J12" s="37">
        <f>G12+I12</f>
        <v>0</v>
      </c>
      <c r="K12" s="37">
        <f>J12/12</f>
        <v>0</v>
      </c>
      <c r="L12" s="37">
        <f>K12*1.21</f>
        <v>0</v>
      </c>
    </row>
    <row r="13" spans="1:12" x14ac:dyDescent="0.2">
      <c r="A13" s="20" t="s">
        <v>282</v>
      </c>
      <c r="B13" s="20" t="s">
        <v>283</v>
      </c>
      <c r="C13" s="20" t="s">
        <v>284</v>
      </c>
      <c r="D13" s="20" t="s">
        <v>285</v>
      </c>
      <c r="E13" s="34">
        <f>objecturenhf10_1</f>
        <v>0</v>
      </c>
      <c r="F13" s="34">
        <f>objecturen10_1</f>
        <v>0</v>
      </c>
      <c r="G13" s="37">
        <f>objectprijs10_1</f>
        <v>0</v>
      </c>
      <c r="H13" s="34">
        <f>tzujt10_1</f>
        <v>0</v>
      </c>
      <c r="I13" s="37">
        <f>tzpjt10_1</f>
        <v>0</v>
      </c>
      <c r="J13" s="37">
        <f>G13+I13</f>
        <v>0</v>
      </c>
      <c r="K13" s="37">
        <f>J13/12</f>
        <v>0</v>
      </c>
      <c r="L13" s="37">
        <f>K13*1.21</f>
        <v>0</v>
      </c>
    </row>
    <row r="14" spans="1:12" x14ac:dyDescent="0.2">
      <c r="A14" s="20" t="s">
        <v>286</v>
      </c>
      <c r="B14" s="20" t="s">
        <v>287</v>
      </c>
      <c r="C14" s="20" t="s">
        <v>288</v>
      </c>
      <c r="D14" s="20" t="s">
        <v>260</v>
      </c>
      <c r="E14" s="34">
        <f>objecturenhf11_1</f>
        <v>0</v>
      </c>
      <c r="F14" s="34">
        <f>objecturen11_1</f>
        <v>0</v>
      </c>
      <c r="G14" s="37">
        <f>objectprijs11_1</f>
        <v>0</v>
      </c>
      <c r="H14" s="34">
        <f>tzujt11_1</f>
        <v>0</v>
      </c>
      <c r="I14" s="37">
        <f>tzpjt11_1</f>
        <v>0</v>
      </c>
      <c r="J14" s="37">
        <f>G14+I14</f>
        <v>0</v>
      </c>
      <c r="K14" s="37">
        <f>J14/12</f>
        <v>0</v>
      </c>
      <c r="L14" s="37">
        <f>K14*1.21</f>
        <v>0</v>
      </c>
    </row>
    <row r="15" spans="1:12" x14ac:dyDescent="0.2">
      <c r="A15" s="20" t="s">
        <v>289</v>
      </c>
      <c r="B15" s="20" t="s">
        <v>290</v>
      </c>
      <c r="C15" s="20" t="s">
        <v>291</v>
      </c>
      <c r="D15" s="20" t="s">
        <v>260</v>
      </c>
      <c r="E15" s="34">
        <f>objecturenhf12_1</f>
        <v>0</v>
      </c>
      <c r="F15" s="34">
        <f>objecturen12_1</f>
        <v>0</v>
      </c>
      <c r="G15" s="37">
        <f>objectprijs12_1</f>
        <v>0</v>
      </c>
      <c r="H15" s="34">
        <f>tzujt12_1</f>
        <v>0</v>
      </c>
      <c r="I15" s="37">
        <f>tzpjt12_1</f>
        <v>0</v>
      </c>
      <c r="J15" s="37">
        <f>G15+I15</f>
        <v>0</v>
      </c>
      <c r="K15" s="37">
        <f>J15/12</f>
        <v>0</v>
      </c>
      <c r="L15" s="37">
        <f>K15*1.21</f>
        <v>0</v>
      </c>
    </row>
    <row r="16" spans="1:12" x14ac:dyDescent="0.2">
      <c r="A16" s="20" t="s">
        <v>292</v>
      </c>
      <c r="B16" s="20" t="s">
        <v>293</v>
      </c>
      <c r="C16" s="20" t="s">
        <v>294</v>
      </c>
      <c r="D16" s="20" t="s">
        <v>260</v>
      </c>
      <c r="E16" s="34">
        <f>objecturenhf13_1</f>
        <v>0</v>
      </c>
      <c r="F16" s="34">
        <f>objecturen13_1</f>
        <v>0</v>
      </c>
      <c r="G16" s="37">
        <f>objectprijs13_1</f>
        <v>0</v>
      </c>
      <c r="H16" s="34">
        <f>tzujt13_1</f>
        <v>0</v>
      </c>
      <c r="I16" s="37">
        <f>tzpjt13_1</f>
        <v>0</v>
      </c>
      <c r="J16" s="37">
        <f>G16+I16</f>
        <v>0</v>
      </c>
      <c r="K16" s="37">
        <f>J16/12</f>
        <v>0</v>
      </c>
      <c r="L16" s="37">
        <f>K16*1.21</f>
        <v>0</v>
      </c>
    </row>
    <row r="17" spans="1:12" x14ac:dyDescent="0.2">
      <c r="A17" s="20" t="s">
        <v>295</v>
      </c>
      <c r="B17" s="20" t="s">
        <v>296</v>
      </c>
      <c r="C17" s="20" t="s">
        <v>297</v>
      </c>
      <c r="D17" s="20" t="s">
        <v>260</v>
      </c>
      <c r="E17" s="34">
        <f>objecturenhf14_1</f>
        <v>0</v>
      </c>
      <c r="F17" s="34">
        <f>objecturen14_1</f>
        <v>0</v>
      </c>
      <c r="G17" s="37">
        <f>objectprijs14_1</f>
        <v>0</v>
      </c>
      <c r="H17" s="34">
        <f>tzujt14_1</f>
        <v>0</v>
      </c>
      <c r="I17" s="37">
        <f>tzpjt14_1</f>
        <v>0</v>
      </c>
      <c r="J17" s="37">
        <f>G17+I17</f>
        <v>0</v>
      </c>
      <c r="K17" s="37">
        <f>J17/12</f>
        <v>0</v>
      </c>
      <c r="L17" s="37">
        <f>K17*1.21</f>
        <v>0</v>
      </c>
    </row>
    <row r="18" spans="1:12" x14ac:dyDescent="0.2">
      <c r="A18" s="20" t="s">
        <v>298</v>
      </c>
      <c r="B18" s="20" t="s">
        <v>299</v>
      </c>
      <c r="C18" s="20" t="s">
        <v>300</v>
      </c>
      <c r="D18" s="20" t="s">
        <v>260</v>
      </c>
      <c r="E18" s="34">
        <f>objecturenhf15_1</f>
        <v>0</v>
      </c>
      <c r="F18" s="34">
        <f>objecturen15_1</f>
        <v>0</v>
      </c>
      <c r="G18" s="37">
        <f>objectprijs15_1</f>
        <v>0</v>
      </c>
      <c r="H18" s="34">
        <f>tzujt15_1</f>
        <v>0</v>
      </c>
      <c r="I18" s="37">
        <f>tzpjt15_1</f>
        <v>0</v>
      </c>
      <c r="J18" s="37">
        <f>G18+I18</f>
        <v>0</v>
      </c>
      <c r="K18" s="37">
        <f>J18/12</f>
        <v>0</v>
      </c>
      <c r="L18" s="37">
        <f>K18*1.21</f>
        <v>0</v>
      </c>
    </row>
    <row r="19" spans="1:12" x14ac:dyDescent="0.2">
      <c r="A19" s="20" t="s">
        <v>301</v>
      </c>
      <c r="B19" s="20" t="s">
        <v>302</v>
      </c>
      <c r="C19" s="20" t="s">
        <v>303</v>
      </c>
      <c r="D19" s="20" t="s">
        <v>260</v>
      </c>
      <c r="E19" s="34">
        <f>objecturenhf16_1</f>
        <v>0</v>
      </c>
      <c r="F19" s="34">
        <f>objecturen16_1</f>
        <v>0</v>
      </c>
      <c r="G19" s="37">
        <f>objectprijs16_1</f>
        <v>0</v>
      </c>
      <c r="H19" s="34">
        <f>tzujt16_1</f>
        <v>0</v>
      </c>
      <c r="I19" s="37">
        <f>tzpjt16_1</f>
        <v>0</v>
      </c>
      <c r="J19" s="37">
        <f>G19+I19</f>
        <v>0</v>
      </c>
      <c r="K19" s="37">
        <f>J19/12</f>
        <v>0</v>
      </c>
      <c r="L19" s="37">
        <f>K19*1.21</f>
        <v>0</v>
      </c>
    </row>
    <row r="20" spans="1:12" x14ac:dyDescent="0.2">
      <c r="A20" s="20" t="s">
        <v>304</v>
      </c>
      <c r="B20" s="20" t="s">
        <v>305</v>
      </c>
      <c r="C20" s="20" t="s">
        <v>306</v>
      </c>
      <c r="D20" s="20" t="s">
        <v>260</v>
      </c>
      <c r="E20" s="34">
        <f>objecturenhf17_1</f>
        <v>0</v>
      </c>
      <c r="F20" s="34">
        <f>objecturen17_1</f>
        <v>0</v>
      </c>
      <c r="G20" s="37">
        <f>objectprijs17_1</f>
        <v>0</v>
      </c>
      <c r="H20" s="34">
        <f>tzujt17_1</f>
        <v>0</v>
      </c>
      <c r="I20" s="37">
        <f>tzpjt17_1</f>
        <v>0</v>
      </c>
      <c r="J20" s="37">
        <f>G20+I20</f>
        <v>0</v>
      </c>
      <c r="K20" s="37">
        <f>J20/12</f>
        <v>0</v>
      </c>
      <c r="L20" s="37">
        <f>K20*1.21</f>
        <v>0</v>
      </c>
    </row>
    <row r="21" spans="1:12" x14ac:dyDescent="0.2">
      <c r="A21" s="20" t="s">
        <v>307</v>
      </c>
      <c r="B21" s="20" t="s">
        <v>308</v>
      </c>
      <c r="C21" s="20" t="s">
        <v>309</v>
      </c>
      <c r="D21" s="20" t="s">
        <v>260</v>
      </c>
      <c r="E21" s="34">
        <f>objecturenhf18_1</f>
        <v>0</v>
      </c>
      <c r="F21" s="34">
        <f>objecturen18_1</f>
        <v>0</v>
      </c>
      <c r="G21" s="37">
        <f>objectprijs18_1</f>
        <v>0</v>
      </c>
      <c r="H21" s="34">
        <f>tzujt18_1</f>
        <v>0</v>
      </c>
      <c r="I21" s="37">
        <f>tzpjt18_1</f>
        <v>0</v>
      </c>
      <c r="J21" s="37">
        <f>G21+I21</f>
        <v>0</v>
      </c>
      <c r="K21" s="37">
        <f>J21/12</f>
        <v>0</v>
      </c>
      <c r="L21" s="37">
        <f>K21*1.21</f>
        <v>0</v>
      </c>
    </row>
    <row r="22" spans="1:12" x14ac:dyDescent="0.2">
      <c r="A22" s="20" t="s">
        <v>310</v>
      </c>
      <c r="B22" s="20" t="s">
        <v>311</v>
      </c>
      <c r="C22" s="20" t="s">
        <v>312</v>
      </c>
      <c r="D22" s="20"/>
      <c r="E22" s="34">
        <f>objecturenhf19_1</f>
        <v>0</v>
      </c>
      <c r="F22" s="34">
        <f>objecturen19_1</f>
        <v>0</v>
      </c>
      <c r="G22" s="37">
        <f>objectprijs19_1</f>
        <v>0</v>
      </c>
      <c r="H22" s="34">
        <f>tzujt19_1</f>
        <v>0</v>
      </c>
      <c r="I22" s="37">
        <f>tzpjt19_1</f>
        <v>0</v>
      </c>
      <c r="J22" s="37">
        <f>G22+I22</f>
        <v>0</v>
      </c>
      <c r="K22" s="37">
        <f>J22/12</f>
        <v>0</v>
      </c>
      <c r="L22" s="37">
        <f>K22*1.21</f>
        <v>0</v>
      </c>
    </row>
    <row r="23" spans="1:12" x14ac:dyDescent="0.2">
      <c r="A23" s="20" t="s">
        <v>313</v>
      </c>
      <c r="B23" s="20" t="s">
        <v>314</v>
      </c>
      <c r="C23" s="20" t="s">
        <v>315</v>
      </c>
      <c r="D23" s="20" t="s">
        <v>260</v>
      </c>
      <c r="E23" s="34">
        <f>objecturenhf20_1</f>
        <v>0</v>
      </c>
      <c r="F23" s="34">
        <f>objecturen20_1</f>
        <v>0</v>
      </c>
      <c r="G23" s="37">
        <f>objectprijs20_1</f>
        <v>0</v>
      </c>
      <c r="H23" s="34">
        <f>tzujt20_1</f>
        <v>0</v>
      </c>
      <c r="I23" s="37">
        <f>tzpjt20_1</f>
        <v>0</v>
      </c>
      <c r="J23" s="37">
        <f>G23+I23</f>
        <v>0</v>
      </c>
      <c r="K23" s="37">
        <f>J23/12</f>
        <v>0</v>
      </c>
      <c r="L23" s="37">
        <f>K23*1.21</f>
        <v>0</v>
      </c>
    </row>
    <row r="24" spans="1:12" x14ac:dyDescent="0.2">
      <c r="A24" s="25" t="s">
        <v>316</v>
      </c>
      <c r="B24" s="25" t="s">
        <v>317</v>
      </c>
      <c r="C24" s="25" t="s">
        <v>318</v>
      </c>
      <c r="D24" s="25" t="s">
        <v>319</v>
      </c>
      <c r="E24" s="39">
        <f>objecturenhf21_1</f>
        <v>0</v>
      </c>
      <c r="F24" s="39">
        <f>objecturen21_1</f>
        <v>0</v>
      </c>
      <c r="G24" s="41">
        <f>objectprijs21_1</f>
        <v>0</v>
      </c>
      <c r="H24" s="39">
        <f>tzujt21_1</f>
        <v>0</v>
      </c>
      <c r="I24" s="41">
        <f>tzpjt21_1</f>
        <v>0</v>
      </c>
      <c r="J24" s="41">
        <f>G24+I24</f>
        <v>0</v>
      </c>
      <c r="K24" s="41">
        <f>J24/12</f>
        <v>0</v>
      </c>
      <c r="L24" s="41">
        <f>K24*1.21</f>
        <v>0</v>
      </c>
    </row>
    <row r="26" spans="1:12" x14ac:dyDescent="0.2">
      <c r="A26" s="42" t="s">
        <v>385</v>
      </c>
      <c r="B26" s="43"/>
      <c r="C26" s="43"/>
      <c r="D26" s="43"/>
      <c r="E26" s="44">
        <f>SUM(E4:E24)</f>
        <v>0</v>
      </c>
      <c r="F26" s="44">
        <f>SUM(F4:F24)</f>
        <v>869.3</v>
      </c>
      <c r="G26" s="45">
        <f>SUM(G4:G24)</f>
        <v>0</v>
      </c>
      <c r="H26" s="44">
        <f>SUM(H4:H24)</f>
        <v>0</v>
      </c>
      <c r="I26" s="45">
        <f>SUM(I4:I24)</f>
        <v>0</v>
      </c>
      <c r="J26" s="45">
        <f>SUM(J4:J24)</f>
        <v>0</v>
      </c>
      <c r="K26" s="45">
        <f>SUM(K4:K24)</f>
        <v>0</v>
      </c>
      <c r="L26" s="45">
        <f>SUM(L4:L24)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ABBA-F72F-43EA-BC5C-07542A89F5B5}">
  <dimension ref="A1:L1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I.6: ",tabeltype," afroep")</f>
        <v>Bijlage I.6: Invultabel afroep</v>
      </c>
    </row>
    <row r="3" spans="1:12" ht="38.25" x14ac:dyDescent="0.2">
      <c r="A3" s="8" t="s">
        <v>386</v>
      </c>
      <c r="B3" s="8" t="s">
        <v>7</v>
      </c>
      <c r="C3" s="8" t="s">
        <v>387</v>
      </c>
      <c r="D3" s="8" t="s">
        <v>36</v>
      </c>
      <c r="E3" s="8" t="s">
        <v>39</v>
      </c>
      <c r="F3" s="8" t="s">
        <v>388</v>
      </c>
      <c r="G3" s="8" t="s">
        <v>389</v>
      </c>
      <c r="H3" s="8" t="s">
        <v>390</v>
      </c>
      <c r="I3" s="8" t="s">
        <v>391</v>
      </c>
      <c r="J3" s="8" t="s">
        <v>392</v>
      </c>
      <c r="K3" s="8" t="s">
        <v>128</v>
      </c>
      <c r="L3" s="8" t="s">
        <v>252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393</v>
      </c>
      <c r="B6" s="15" t="s">
        <v>31</v>
      </c>
      <c r="C6" s="16">
        <f>IF(ISBLANK(B6),0,IF(ISERROR(VALUE(B6)),VLOOKUP(B6,dagsoorttabel1,2,FALSE)*dagenperjaar1,VALUE(B6)))</f>
        <v>2</v>
      </c>
      <c r="D6" s="15" t="s">
        <v>394</v>
      </c>
      <c r="E6" s="15" t="s">
        <v>395</v>
      </c>
      <c r="F6" s="76">
        <v>2500</v>
      </c>
      <c r="G6" s="19"/>
      <c r="H6" s="77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396</v>
      </c>
      <c r="B7" s="20" t="s">
        <v>31</v>
      </c>
      <c r="C7" s="21">
        <f>IF(ISBLANK(B7),0,IF(ISERROR(VALUE(B7)),VLOOKUP(B7,dagsoorttabel1,2,FALSE)*dagenperjaar1,VALUE(B7)))</f>
        <v>2</v>
      </c>
      <c r="D7" s="20" t="s">
        <v>397</v>
      </c>
      <c r="E7" s="20" t="s">
        <v>395</v>
      </c>
      <c r="F7" s="78">
        <v>5000</v>
      </c>
      <c r="G7" s="24"/>
      <c r="H7" s="79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398</v>
      </c>
      <c r="B8" s="20" t="s">
        <v>31</v>
      </c>
      <c r="C8" s="21">
        <f>IF(ISBLANK(B8),0,IF(ISERROR(VALUE(B8)),VLOOKUP(B8,dagsoorttabel1,2,FALSE)*dagenperjaar1,VALUE(B8)))</f>
        <v>2</v>
      </c>
      <c r="D8" s="20" t="s">
        <v>399</v>
      </c>
      <c r="E8" s="20" t="s">
        <v>395</v>
      </c>
      <c r="F8" s="78">
        <v>12500</v>
      </c>
      <c r="G8" s="24"/>
      <c r="H8" s="79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20" t="s">
        <v>400</v>
      </c>
      <c r="B9" s="20" t="s">
        <v>32</v>
      </c>
      <c r="C9" s="21">
        <f>IF(ISBLANK(B9),0,IF(ISERROR(VALUE(B9)),VLOOKUP(B9,dagsoorttabel1,2,FALSE)*dagenperjaar1,VALUE(B9)))</f>
        <v>1</v>
      </c>
      <c r="D9" s="20" t="s">
        <v>401</v>
      </c>
      <c r="E9" s="20" t="s">
        <v>395</v>
      </c>
      <c r="F9" s="78">
        <v>2000</v>
      </c>
      <c r="G9" s="24"/>
      <c r="H9" s="79"/>
      <c r="I9" s="24"/>
      <c r="J9" s="37">
        <f>IF(ISBLANK(F9),0,F9)*I9</f>
        <v>0</v>
      </c>
      <c r="K9" s="37">
        <f>C9*J9</f>
        <v>0</v>
      </c>
      <c r="L9" s="37">
        <f>K9/12</f>
        <v>0</v>
      </c>
    </row>
    <row r="10" spans="1:12" x14ac:dyDescent="0.2">
      <c r="A10" s="20" t="s">
        <v>402</v>
      </c>
      <c r="B10" s="20" t="s">
        <v>32</v>
      </c>
      <c r="C10" s="21">
        <f>IF(ISBLANK(B10),0,IF(ISERROR(VALUE(B10)),VLOOKUP(B10,dagsoorttabel1,2,FALSE)*dagenperjaar1,VALUE(B10)))</f>
        <v>1</v>
      </c>
      <c r="D10" s="20" t="s">
        <v>403</v>
      </c>
      <c r="E10" s="20" t="s">
        <v>395</v>
      </c>
      <c r="F10" s="78">
        <v>7500</v>
      </c>
      <c r="G10" s="24"/>
      <c r="H10" s="79"/>
      <c r="I10" s="24"/>
      <c r="J10" s="37">
        <f>IF(ISBLANK(F10),0,F10)*I10</f>
        <v>0</v>
      </c>
      <c r="K10" s="37">
        <f>C10*J10</f>
        <v>0</v>
      </c>
      <c r="L10" s="37">
        <f>K10/12</f>
        <v>0</v>
      </c>
    </row>
    <row r="11" spans="1:12" x14ac:dyDescent="0.2">
      <c r="A11" s="20" t="s">
        <v>404</v>
      </c>
      <c r="B11" s="20" t="s">
        <v>32</v>
      </c>
      <c r="C11" s="21">
        <f>IF(ISBLANK(B11),0,IF(ISERROR(VALUE(B11)),VLOOKUP(B11,dagsoorttabel1,2,FALSE)*dagenperjaar1,VALUE(B11)))</f>
        <v>1</v>
      </c>
      <c r="D11" s="20" t="s">
        <v>405</v>
      </c>
      <c r="E11" s="20" t="s">
        <v>395</v>
      </c>
      <c r="F11" s="78">
        <v>30000</v>
      </c>
      <c r="G11" s="24"/>
      <c r="H11" s="79"/>
      <c r="I11" s="24"/>
      <c r="J11" s="37">
        <f>IF(ISBLANK(F11),0,F11)*I11</f>
        <v>0</v>
      </c>
      <c r="K11" s="37">
        <f>C11*J11</f>
        <v>0</v>
      </c>
      <c r="L11" s="37">
        <f>K11/12</f>
        <v>0</v>
      </c>
    </row>
    <row r="12" spans="1:12" x14ac:dyDescent="0.2">
      <c r="A12" s="20" t="s">
        <v>406</v>
      </c>
      <c r="B12" s="20" t="s">
        <v>31</v>
      </c>
      <c r="C12" s="21">
        <f>IF(ISBLANK(B12),0,IF(ISERROR(VALUE(B12)),VLOOKUP(B12,dagsoorttabel1,2,FALSE)*dagenperjaar1,VALUE(B12)))</f>
        <v>2</v>
      </c>
      <c r="D12" s="20" t="s">
        <v>407</v>
      </c>
      <c r="E12" s="20" t="s">
        <v>395</v>
      </c>
      <c r="F12" s="78">
        <v>2000</v>
      </c>
      <c r="G12" s="24"/>
      <c r="H12" s="79"/>
      <c r="I12" s="24"/>
      <c r="J12" s="37">
        <f>IF(ISBLANK(F12),0,F12)*I12</f>
        <v>0</v>
      </c>
      <c r="K12" s="37">
        <f>C12*J12</f>
        <v>0</v>
      </c>
      <c r="L12" s="37">
        <f>K12/12</f>
        <v>0</v>
      </c>
    </row>
    <row r="13" spans="1:12" x14ac:dyDescent="0.2">
      <c r="A13" s="20" t="s">
        <v>408</v>
      </c>
      <c r="B13" s="20" t="s">
        <v>31</v>
      </c>
      <c r="C13" s="21">
        <f>IF(ISBLANK(B13),0,IF(ISERROR(VALUE(B13)),VLOOKUP(B13,dagsoorttabel1,2,FALSE)*dagenperjaar1,VALUE(B13)))</f>
        <v>2</v>
      </c>
      <c r="D13" s="20" t="s">
        <v>409</v>
      </c>
      <c r="E13" s="20" t="s">
        <v>395</v>
      </c>
      <c r="F13" s="78">
        <v>7500</v>
      </c>
      <c r="G13" s="24"/>
      <c r="H13" s="79"/>
      <c r="I13" s="24"/>
      <c r="J13" s="37">
        <f>IF(ISBLANK(F13),0,F13)*I13</f>
        <v>0</v>
      </c>
      <c r="K13" s="37">
        <f>C13*J13</f>
        <v>0</v>
      </c>
      <c r="L13" s="37">
        <f>K13/12</f>
        <v>0</v>
      </c>
    </row>
    <row r="14" spans="1:12" x14ac:dyDescent="0.2">
      <c r="A14" s="20" t="s">
        <v>410</v>
      </c>
      <c r="B14" s="20" t="s">
        <v>31</v>
      </c>
      <c r="C14" s="21">
        <f>IF(ISBLANK(B14),0,IF(ISERROR(VALUE(B14)),VLOOKUP(B14,dagsoorttabel1,2,FALSE)*dagenperjaar1,VALUE(B14)))</f>
        <v>2</v>
      </c>
      <c r="D14" s="20" t="s">
        <v>411</v>
      </c>
      <c r="E14" s="20" t="s">
        <v>395</v>
      </c>
      <c r="F14" s="78">
        <v>30000</v>
      </c>
      <c r="G14" s="24"/>
      <c r="H14" s="79"/>
      <c r="I14" s="24"/>
      <c r="J14" s="37">
        <f>IF(ISBLANK(F14),0,F14)*I14</f>
        <v>0</v>
      </c>
      <c r="K14" s="37">
        <f>C14*J14</f>
        <v>0</v>
      </c>
      <c r="L14" s="37">
        <f>K14/12</f>
        <v>0</v>
      </c>
    </row>
    <row r="15" spans="1:12" x14ac:dyDescent="0.2">
      <c r="A15" s="20" t="s">
        <v>412</v>
      </c>
      <c r="B15" s="20" t="s">
        <v>27</v>
      </c>
      <c r="C15" s="21">
        <f>IF(ISBLANK(B15),0,IF(ISERROR(VALUE(B15)),VLOOKUP(B15,dagsoorttabel1,2,FALSE)*dagenperjaar1,VALUE(B15)))</f>
        <v>10</v>
      </c>
      <c r="D15" s="20" t="s">
        <v>413</v>
      </c>
      <c r="E15" s="20" t="s">
        <v>414</v>
      </c>
      <c r="F15" s="78">
        <v>20</v>
      </c>
      <c r="G15" s="24"/>
      <c r="H15" s="79"/>
      <c r="I15" s="24"/>
      <c r="J15" s="37">
        <f>IF(ISBLANK(F15),0,F15)*I15</f>
        <v>0</v>
      </c>
      <c r="K15" s="37">
        <f>C15*J15</f>
        <v>0</v>
      </c>
      <c r="L15" s="37">
        <f>K15/12</f>
        <v>0</v>
      </c>
    </row>
    <row r="16" spans="1:12" x14ac:dyDescent="0.2">
      <c r="A16" s="25" t="s">
        <v>415</v>
      </c>
      <c r="B16" s="25" t="s">
        <v>27</v>
      </c>
      <c r="C16" s="26">
        <f>IF(ISBLANK(B16),0,IF(ISERROR(VALUE(B16)),VLOOKUP(B16,dagsoorttabel1,2,FALSE)*dagenperjaar1,VALUE(B16)))</f>
        <v>10</v>
      </c>
      <c r="D16" s="25" t="s">
        <v>416</v>
      </c>
      <c r="E16" s="25" t="s">
        <v>414</v>
      </c>
      <c r="F16" s="80">
        <v>4</v>
      </c>
      <c r="G16" s="29"/>
      <c r="H16" s="81"/>
      <c r="I16" s="29"/>
      <c r="J16" s="41">
        <f>IF(ISBLANK(F16),0,F16)*I16</f>
        <v>0</v>
      </c>
      <c r="K16" s="41">
        <f>C16*J16</f>
        <v>0</v>
      </c>
      <c r="L16" s="41">
        <f>K16/12</f>
        <v>0</v>
      </c>
    </row>
    <row r="17" spans="1:12" x14ac:dyDescent="0.2">
      <c r="A17" s="42" t="s">
        <v>205</v>
      </c>
      <c r="B17" s="43"/>
      <c r="C17" s="43"/>
      <c r="D17" s="43"/>
      <c r="E17" s="43"/>
      <c r="F17" s="43"/>
      <c r="G17" s="43"/>
      <c r="H17" s="43"/>
      <c r="I17" s="43"/>
      <c r="J17" s="43"/>
      <c r="K17" s="45">
        <f>SUM(K6:K16)</f>
        <v>0</v>
      </c>
      <c r="L17" s="82">
        <f>K17/12</f>
        <v>0</v>
      </c>
    </row>
    <row r="19" spans="1:12" x14ac:dyDescent="0.2">
      <c r="A19" s="42" t="s">
        <v>417</v>
      </c>
      <c r="B19" s="43"/>
      <c r="C19" s="43"/>
      <c r="D19" s="43"/>
      <c r="E19" s="43"/>
      <c r="F19" s="43"/>
      <c r="G19" s="43"/>
      <c r="H19" s="43"/>
      <c r="I19" s="43"/>
      <c r="J19" s="43"/>
      <c r="K19" s="45">
        <f>prijsjaarafroep1</f>
        <v>0</v>
      </c>
      <c r="L19" s="82">
        <f>K19/12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16A6-DAD1-47BB-9F92-C8A50345FDEA}">
  <dimension ref="A1:E2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I.7: ",tabeltype," afroep incidenteel")</f>
        <v>Bijlage I.7: Invultabel afroep incidenteel</v>
      </c>
    </row>
    <row r="3" spans="1:5" ht="38.25" x14ac:dyDescent="0.2">
      <c r="A3" s="8" t="s">
        <v>386</v>
      </c>
      <c r="B3" s="8" t="s">
        <v>36</v>
      </c>
      <c r="C3" s="8" t="s">
        <v>39</v>
      </c>
      <c r="D3" s="8" t="s">
        <v>418</v>
      </c>
      <c r="E3" s="8" t="s">
        <v>391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41</v>
      </c>
      <c r="B5" s="13"/>
      <c r="C5" s="13"/>
      <c r="D5" s="13"/>
      <c r="E5" s="14"/>
    </row>
    <row r="6" spans="1:5" x14ac:dyDescent="0.2">
      <c r="A6" s="15" t="s">
        <v>419</v>
      </c>
      <c r="B6" s="15" t="s">
        <v>420</v>
      </c>
      <c r="C6" s="15" t="s">
        <v>395</v>
      </c>
      <c r="D6" s="15" t="s">
        <v>421</v>
      </c>
      <c r="E6" s="19"/>
    </row>
    <row r="7" spans="1:5" x14ac:dyDescent="0.2">
      <c r="A7" s="20" t="s">
        <v>422</v>
      </c>
      <c r="B7" s="20" t="s">
        <v>420</v>
      </c>
      <c r="C7" s="20" t="s">
        <v>395</v>
      </c>
      <c r="D7" s="20" t="s">
        <v>423</v>
      </c>
      <c r="E7" s="24"/>
    </row>
    <row r="8" spans="1:5" x14ac:dyDescent="0.2">
      <c r="A8" s="20" t="s">
        <v>424</v>
      </c>
      <c r="B8" s="20" t="s">
        <v>420</v>
      </c>
      <c r="C8" s="20" t="s">
        <v>395</v>
      </c>
      <c r="D8" s="20" t="s">
        <v>425</v>
      </c>
      <c r="E8" s="24"/>
    </row>
    <row r="9" spans="1:5" x14ac:dyDescent="0.2">
      <c r="A9" s="20" t="s">
        <v>426</v>
      </c>
      <c r="B9" s="20" t="s">
        <v>427</v>
      </c>
      <c r="C9" s="20" t="s">
        <v>395</v>
      </c>
      <c r="D9" s="20" t="s">
        <v>421</v>
      </c>
      <c r="E9" s="24"/>
    </row>
    <row r="10" spans="1:5" x14ac:dyDescent="0.2">
      <c r="A10" s="20" t="s">
        <v>428</v>
      </c>
      <c r="B10" s="20" t="s">
        <v>427</v>
      </c>
      <c r="C10" s="20" t="s">
        <v>395</v>
      </c>
      <c r="D10" s="20" t="s">
        <v>423</v>
      </c>
      <c r="E10" s="24"/>
    </row>
    <row r="11" spans="1:5" x14ac:dyDescent="0.2">
      <c r="A11" s="20" t="s">
        <v>429</v>
      </c>
      <c r="B11" s="20" t="s">
        <v>427</v>
      </c>
      <c r="C11" s="20" t="s">
        <v>395</v>
      </c>
      <c r="D11" s="20" t="s">
        <v>425</v>
      </c>
      <c r="E11" s="24"/>
    </row>
    <row r="12" spans="1:5" x14ac:dyDescent="0.2">
      <c r="A12" s="20" t="s">
        <v>430</v>
      </c>
      <c r="B12" s="20" t="s">
        <v>431</v>
      </c>
      <c r="C12" s="20" t="s">
        <v>395</v>
      </c>
      <c r="D12" s="20" t="s">
        <v>421</v>
      </c>
      <c r="E12" s="24"/>
    </row>
    <row r="13" spans="1:5" x14ac:dyDescent="0.2">
      <c r="A13" s="20" t="s">
        <v>432</v>
      </c>
      <c r="B13" s="20" t="s">
        <v>431</v>
      </c>
      <c r="C13" s="20" t="s">
        <v>395</v>
      </c>
      <c r="D13" s="20" t="s">
        <v>423</v>
      </c>
      <c r="E13" s="24"/>
    </row>
    <row r="14" spans="1:5" x14ac:dyDescent="0.2">
      <c r="A14" s="20" t="s">
        <v>433</v>
      </c>
      <c r="B14" s="20" t="s">
        <v>431</v>
      </c>
      <c r="C14" s="20" t="s">
        <v>395</v>
      </c>
      <c r="D14" s="20" t="s">
        <v>425</v>
      </c>
      <c r="E14" s="24"/>
    </row>
    <row r="15" spans="1:5" x14ac:dyDescent="0.2">
      <c r="A15" s="20" t="s">
        <v>434</v>
      </c>
      <c r="B15" s="20" t="s">
        <v>435</v>
      </c>
      <c r="C15" s="20" t="s">
        <v>395</v>
      </c>
      <c r="D15" s="20" t="s">
        <v>421</v>
      </c>
      <c r="E15" s="24"/>
    </row>
    <row r="16" spans="1:5" x14ac:dyDescent="0.2">
      <c r="A16" s="20" t="s">
        <v>436</v>
      </c>
      <c r="B16" s="20" t="s">
        <v>435</v>
      </c>
      <c r="C16" s="20" t="s">
        <v>395</v>
      </c>
      <c r="D16" s="20" t="s">
        <v>423</v>
      </c>
      <c r="E16" s="24"/>
    </row>
    <row r="17" spans="1:5" x14ac:dyDescent="0.2">
      <c r="A17" s="25" t="s">
        <v>437</v>
      </c>
      <c r="B17" s="25" t="s">
        <v>435</v>
      </c>
      <c r="C17" s="25" t="s">
        <v>395</v>
      </c>
      <c r="D17" s="25" t="s">
        <v>425</v>
      </c>
      <c r="E17" s="29"/>
    </row>
    <row r="18" spans="1:5" x14ac:dyDescent="0.2">
      <c r="A18" s="42" t="s">
        <v>205</v>
      </c>
      <c r="B18" s="43"/>
      <c r="C18" s="43"/>
      <c r="D18" s="43"/>
      <c r="E18" s="83"/>
    </row>
    <row r="20" spans="1:5" x14ac:dyDescent="0.2">
      <c r="A20" s="42" t="s">
        <v>438</v>
      </c>
      <c r="B20" s="43"/>
      <c r="C20" s="43"/>
      <c r="D20" s="43"/>
      <c r="E20" s="83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552</vt:i4>
      </vt:variant>
    </vt:vector>
  </HeadingPairs>
  <TitlesOfParts>
    <vt:vector size="562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Totaal</vt:lpstr>
      <vt:lpstr>Afroep!Afdruktitels</vt:lpstr>
      <vt:lpstr>'Afroep incidenteel'!Afdruktitels</vt:lpstr>
      <vt:lpstr>Categorienormen!Afdruktitels</vt:lpstr>
      <vt:lpstr>'Niet-meewerkende objectleiding'!Afdruktitels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catdw_1_AB_1</vt:lpstr>
      <vt:lpstr>catdw_1_AV_42</vt:lpstr>
      <vt:lpstr>catdw_1_AV_48</vt:lpstr>
      <vt:lpstr>catdw_1_BB_1</vt:lpstr>
      <vt:lpstr>catdw_1_BV_42</vt:lpstr>
      <vt:lpstr>catdw_1_BV_48</vt:lpstr>
      <vt:lpstr>catdw_1_BV_51</vt:lpstr>
      <vt:lpstr>catdw_1_DB_1</vt:lpstr>
      <vt:lpstr>catdw_1_DV_42</vt:lpstr>
      <vt:lpstr>catdw_1_EB_1</vt:lpstr>
      <vt:lpstr>catdw_1_EV_42</vt:lpstr>
      <vt:lpstr>catdw_1_EV_48</vt:lpstr>
      <vt:lpstr>catdw_1_FB_1</vt:lpstr>
      <vt:lpstr>catdw_1_FV_42</vt:lpstr>
      <vt:lpstr>catdw_1_GB_1</vt:lpstr>
      <vt:lpstr>catdw_1_GV_42</vt:lpstr>
      <vt:lpstr>catdw_1_KB_1</vt:lpstr>
      <vt:lpstr>catdw_1_KV_42</vt:lpstr>
      <vt:lpstr>catdw_1_KV_51</vt:lpstr>
      <vt:lpstr>catdw_1_LCB_1</vt:lpstr>
      <vt:lpstr>catdw_1_LCV_42</vt:lpstr>
      <vt:lpstr>catdw_1_LTB_1</vt:lpstr>
      <vt:lpstr>catdw_1_LTV_42</vt:lpstr>
      <vt:lpstr>catdw_1_LTV_48</vt:lpstr>
      <vt:lpstr>catdw_1_LTV_51</vt:lpstr>
      <vt:lpstr>catdw_1_OB_1</vt:lpstr>
      <vt:lpstr>catdw_1_OV_42</vt:lpstr>
      <vt:lpstr>catdw_1_OV_51</vt:lpstr>
      <vt:lpstr>catdw_1_PAB_1</vt:lpstr>
      <vt:lpstr>catdw_1_PAV_42</vt:lpstr>
      <vt:lpstr>catdw_1_PBB_1</vt:lpstr>
      <vt:lpstr>catdw_1_PBV_42</vt:lpstr>
      <vt:lpstr>catdw_1_PCB_1</vt:lpstr>
      <vt:lpstr>catdw_1_PCV_42</vt:lpstr>
      <vt:lpstr>catdw_1_PDB_1</vt:lpstr>
      <vt:lpstr>catdw_1_PDV_42</vt:lpstr>
      <vt:lpstr>catdw_1_RB_1</vt:lpstr>
      <vt:lpstr>catdw_1_RV_42</vt:lpstr>
      <vt:lpstr>catdw_1_SB_1</vt:lpstr>
      <vt:lpstr>catdw_1_SV_42</vt:lpstr>
      <vt:lpstr>catdw_1_SV_48</vt:lpstr>
      <vt:lpstr>catdw_1_TB_1</vt:lpstr>
      <vt:lpstr>catdw_1_TV_42</vt:lpstr>
      <vt:lpstr>catdw_1_TV_48</vt:lpstr>
      <vt:lpstr>catdw_1_VB_1</vt:lpstr>
      <vt:lpstr>catdw_1_VV_42</vt:lpstr>
      <vt:lpstr>catdw_1_VV_48</vt:lpstr>
      <vt:lpstr>catdw_1_VV_51</vt:lpstr>
      <vt:lpstr>catfd_1_AB_1</vt:lpstr>
      <vt:lpstr>catfd_1_AV_42</vt:lpstr>
      <vt:lpstr>catfd_1_AV_48</vt:lpstr>
      <vt:lpstr>catfd_1_BB_1</vt:lpstr>
      <vt:lpstr>catfd_1_BV_42</vt:lpstr>
      <vt:lpstr>catfd_1_BV_48</vt:lpstr>
      <vt:lpstr>catfd_1_BV_51</vt:lpstr>
      <vt:lpstr>catfd_1_DB_1</vt:lpstr>
      <vt:lpstr>catfd_1_DV_42</vt:lpstr>
      <vt:lpstr>catfd_1_EB_1</vt:lpstr>
      <vt:lpstr>catfd_1_EV_42</vt:lpstr>
      <vt:lpstr>catfd_1_EV_48</vt:lpstr>
      <vt:lpstr>catfd_1_FB_1</vt:lpstr>
      <vt:lpstr>catfd_1_FV_42</vt:lpstr>
      <vt:lpstr>catfd_1_GB_1</vt:lpstr>
      <vt:lpstr>catfd_1_GV_42</vt:lpstr>
      <vt:lpstr>catfd_1_KB_1</vt:lpstr>
      <vt:lpstr>catfd_1_KV_42</vt:lpstr>
      <vt:lpstr>catfd_1_KV_51</vt:lpstr>
      <vt:lpstr>catfd_1_LCB_1</vt:lpstr>
      <vt:lpstr>catfd_1_LCV_42</vt:lpstr>
      <vt:lpstr>catfd_1_LTB_1</vt:lpstr>
      <vt:lpstr>catfd_1_LTV_42</vt:lpstr>
      <vt:lpstr>catfd_1_LTV_48</vt:lpstr>
      <vt:lpstr>catfd_1_LTV_51</vt:lpstr>
      <vt:lpstr>catfd_1_OB_1</vt:lpstr>
      <vt:lpstr>catfd_1_OV_42</vt:lpstr>
      <vt:lpstr>catfd_1_OV_51</vt:lpstr>
      <vt:lpstr>catfd_1_PAB_1</vt:lpstr>
      <vt:lpstr>catfd_1_PAV_42</vt:lpstr>
      <vt:lpstr>catfd_1_PBB_1</vt:lpstr>
      <vt:lpstr>catfd_1_PBV_42</vt:lpstr>
      <vt:lpstr>catfd_1_PCB_1</vt:lpstr>
      <vt:lpstr>catfd_1_PCV_42</vt:lpstr>
      <vt:lpstr>catfd_1_PDB_1</vt:lpstr>
      <vt:lpstr>catfd_1_PDV_42</vt:lpstr>
      <vt:lpstr>catfd_1_RB_1</vt:lpstr>
      <vt:lpstr>catfd_1_RV_42</vt:lpstr>
      <vt:lpstr>catfd_1_SB_1</vt:lpstr>
      <vt:lpstr>catfd_1_SV_42</vt:lpstr>
      <vt:lpstr>catfd_1_SV_48</vt:lpstr>
      <vt:lpstr>catfd_1_TB_1</vt:lpstr>
      <vt:lpstr>catfd_1_TV_42</vt:lpstr>
      <vt:lpstr>catfd_1_TV_48</vt:lpstr>
      <vt:lpstr>catfd_1_VB_1</vt:lpstr>
      <vt:lpstr>catfd_1_VV_42</vt:lpstr>
      <vt:lpstr>catfd_1_VV_48</vt:lpstr>
      <vt:lpstr>catfd_1_VV_51</vt:lpstr>
      <vt:lpstr>catpn_1_AB_1</vt:lpstr>
      <vt:lpstr>catpn_1_AV_42</vt:lpstr>
      <vt:lpstr>catpn_1_AV_48</vt:lpstr>
      <vt:lpstr>catpn_1_BB_1</vt:lpstr>
      <vt:lpstr>catpn_1_BV_42</vt:lpstr>
      <vt:lpstr>catpn_1_BV_48</vt:lpstr>
      <vt:lpstr>catpn_1_BV_51</vt:lpstr>
      <vt:lpstr>catpn_1_DB_1</vt:lpstr>
      <vt:lpstr>catpn_1_DV_42</vt:lpstr>
      <vt:lpstr>catpn_1_EB_1</vt:lpstr>
      <vt:lpstr>catpn_1_EV_42</vt:lpstr>
      <vt:lpstr>catpn_1_EV_48</vt:lpstr>
      <vt:lpstr>catpn_1_FB_1</vt:lpstr>
      <vt:lpstr>catpn_1_FV_42</vt:lpstr>
      <vt:lpstr>catpn_1_GB_1</vt:lpstr>
      <vt:lpstr>catpn_1_GV_42</vt:lpstr>
      <vt:lpstr>catpn_1_KB_1</vt:lpstr>
      <vt:lpstr>catpn_1_KV_42</vt:lpstr>
      <vt:lpstr>catpn_1_KV_51</vt:lpstr>
      <vt:lpstr>catpn_1_LCB_1</vt:lpstr>
      <vt:lpstr>catpn_1_LCV_42</vt:lpstr>
      <vt:lpstr>catpn_1_LTB_1</vt:lpstr>
      <vt:lpstr>catpn_1_LTV_42</vt:lpstr>
      <vt:lpstr>catpn_1_LTV_48</vt:lpstr>
      <vt:lpstr>catpn_1_LTV_51</vt:lpstr>
      <vt:lpstr>catpn_1_OB_1</vt:lpstr>
      <vt:lpstr>catpn_1_OV_42</vt:lpstr>
      <vt:lpstr>catpn_1_OV_51</vt:lpstr>
      <vt:lpstr>catpn_1_PAB_1</vt:lpstr>
      <vt:lpstr>catpn_1_PAV_42</vt:lpstr>
      <vt:lpstr>catpn_1_PBB_1</vt:lpstr>
      <vt:lpstr>catpn_1_PBV_42</vt:lpstr>
      <vt:lpstr>catpn_1_PCB_1</vt:lpstr>
      <vt:lpstr>catpn_1_PCV_42</vt:lpstr>
      <vt:lpstr>catpn_1_PDB_1</vt:lpstr>
      <vt:lpstr>catpn_1_PDV_42</vt:lpstr>
      <vt:lpstr>catpn_1_RB_1</vt:lpstr>
      <vt:lpstr>catpn_1_RV_42</vt:lpstr>
      <vt:lpstr>catpn_1_SB_1</vt:lpstr>
      <vt:lpstr>catpn_1_SV_42</vt:lpstr>
      <vt:lpstr>catpn_1_SV_48</vt:lpstr>
      <vt:lpstr>catpn_1_TB_1</vt:lpstr>
      <vt:lpstr>catpn_1_TV_42</vt:lpstr>
      <vt:lpstr>catpn_1_TV_48</vt:lpstr>
      <vt:lpstr>catpn_1_VB_1</vt:lpstr>
      <vt:lpstr>catpn_1_VV_42</vt:lpstr>
      <vt:lpstr>catpn_1_VV_48</vt:lpstr>
      <vt:lpstr>catpn_1_VV_51</vt:lpstr>
      <vt:lpstr>cattf_1_AB_1</vt:lpstr>
      <vt:lpstr>cattf_1_AV_42</vt:lpstr>
      <vt:lpstr>cattf_1_AV_48</vt:lpstr>
      <vt:lpstr>cattf_1_BB_1</vt:lpstr>
      <vt:lpstr>cattf_1_BV_42</vt:lpstr>
      <vt:lpstr>cattf_1_BV_48</vt:lpstr>
      <vt:lpstr>cattf_1_BV_51</vt:lpstr>
      <vt:lpstr>cattf_1_DB_1</vt:lpstr>
      <vt:lpstr>cattf_1_DV_42</vt:lpstr>
      <vt:lpstr>cattf_1_EB_1</vt:lpstr>
      <vt:lpstr>cattf_1_EV_42</vt:lpstr>
      <vt:lpstr>cattf_1_EV_48</vt:lpstr>
      <vt:lpstr>cattf_1_FB_1</vt:lpstr>
      <vt:lpstr>cattf_1_FV_42</vt:lpstr>
      <vt:lpstr>cattf_1_GB_1</vt:lpstr>
      <vt:lpstr>cattf_1_GV_42</vt:lpstr>
      <vt:lpstr>cattf_1_KB_1</vt:lpstr>
      <vt:lpstr>cattf_1_KV_42</vt:lpstr>
      <vt:lpstr>cattf_1_KV_51</vt:lpstr>
      <vt:lpstr>cattf_1_LCB_1</vt:lpstr>
      <vt:lpstr>cattf_1_LCV_42</vt:lpstr>
      <vt:lpstr>cattf_1_LTB_1</vt:lpstr>
      <vt:lpstr>cattf_1_LTV_42</vt:lpstr>
      <vt:lpstr>cattf_1_LTV_48</vt:lpstr>
      <vt:lpstr>cattf_1_LTV_51</vt:lpstr>
      <vt:lpstr>cattf_1_OB_1</vt:lpstr>
      <vt:lpstr>cattf_1_OV_42</vt:lpstr>
      <vt:lpstr>cattf_1_OV_51</vt:lpstr>
      <vt:lpstr>cattf_1_PAB_1</vt:lpstr>
      <vt:lpstr>cattf_1_PAV_42</vt:lpstr>
      <vt:lpstr>cattf_1_PBB_1</vt:lpstr>
      <vt:lpstr>cattf_1_PBV_42</vt:lpstr>
      <vt:lpstr>cattf_1_PCB_1</vt:lpstr>
      <vt:lpstr>cattf_1_PCV_42</vt:lpstr>
      <vt:lpstr>cattf_1_PDB_1</vt:lpstr>
      <vt:lpstr>cattf_1_PDV_42</vt:lpstr>
      <vt:lpstr>cattf_1_RB_1</vt:lpstr>
      <vt:lpstr>cattf_1_RV_42</vt:lpstr>
      <vt:lpstr>cattf_1_SB_1</vt:lpstr>
      <vt:lpstr>cattf_1_SV_42</vt:lpstr>
      <vt:lpstr>cattf_1_SV_48</vt:lpstr>
      <vt:lpstr>cattf_1_TB_1</vt:lpstr>
      <vt:lpstr>cattf_1_TV_42</vt:lpstr>
      <vt:lpstr>cattf_1_TV_48</vt:lpstr>
      <vt:lpstr>cattf_1_VB_1</vt:lpstr>
      <vt:lpstr>cattf_1_VV_42</vt:lpstr>
      <vt:lpstr>cattf_1_VV_48</vt:lpstr>
      <vt:lpstr>cattf_1_VV_51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</vt:lpstr>
      <vt:lpstr>dagwerk60</vt:lpstr>
      <vt:lpstr>dagwerk61</vt:lpstr>
      <vt:lpstr>dagwerk62</vt:lpstr>
      <vt:lpstr>dagwerk7</vt:lpstr>
      <vt:lpstr>dagwerk8</vt:lpstr>
      <vt:lpstr>dagwerk9</vt:lpstr>
      <vt:lpstr>dagwerktabel1</vt:lpstr>
      <vt:lpstr>gemuurtarief1</vt:lpstr>
      <vt:lpstr>kengetaltabel1</vt:lpstr>
      <vt:lpstr>object1_opptabel1</vt:lpstr>
      <vt:lpstr>object10_opptabel1</vt:lpstr>
      <vt:lpstr>object11_opptabel1</vt:lpstr>
      <vt:lpstr>object12_opptabel1</vt:lpstr>
      <vt:lpstr>object13_opptabel1</vt:lpstr>
      <vt:lpstr>object14_opptabel1</vt:lpstr>
      <vt:lpstr>object15_opptabel1</vt:lpstr>
      <vt:lpstr>object16_opptabel1</vt:lpstr>
      <vt:lpstr>object17_opptabel1</vt:lpstr>
      <vt:lpstr>object18_opptabel1</vt:lpstr>
      <vt:lpstr>object19_opptabel1</vt:lpstr>
      <vt:lpstr>object2_opptabel1</vt:lpstr>
      <vt:lpstr>object20_opptabel1</vt:lpstr>
      <vt:lpstr>object21_opptabel1</vt:lpstr>
      <vt:lpstr>object3_opptabel1</vt:lpstr>
      <vt:lpstr>object4_opptabel1</vt:lpstr>
      <vt:lpstr>object5_opptabel1</vt:lpstr>
      <vt:lpstr>object6_opptabel1</vt:lpstr>
      <vt:lpstr>object7_opptabel1</vt:lpstr>
      <vt:lpstr>object8_opptabel1</vt:lpstr>
      <vt:lpstr>object9_opptabel1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objectprijs17_1</vt:lpstr>
      <vt:lpstr>objectprijs18_1</vt:lpstr>
      <vt:lpstr>objectprijs19_1</vt:lpstr>
      <vt:lpstr>objectprijs2_1</vt:lpstr>
      <vt:lpstr>objectprijs20_1</vt:lpstr>
      <vt:lpstr>objectprijs21_1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objecturen17_1</vt:lpstr>
      <vt:lpstr>objecturen18_1</vt:lpstr>
      <vt:lpstr>objecturen19_1</vt:lpstr>
      <vt:lpstr>objecturen2_1</vt:lpstr>
      <vt:lpstr>objecturen20_1</vt:lpstr>
      <vt:lpstr>objecturen21_1</vt:lpstr>
      <vt:lpstr>objecturen3_1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objecturenhf17_1</vt:lpstr>
      <vt:lpstr>objecturenhf18_1</vt:lpstr>
      <vt:lpstr>objecturenhf19_1</vt:lpstr>
      <vt:lpstr>objecturenhf2_1</vt:lpstr>
      <vt:lpstr>objecturenhf20_1</vt:lpstr>
      <vt:lpstr>objecturenhf21_1</vt:lpstr>
      <vt:lpstr>objecturenhf3_1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prijsjaar</vt:lpstr>
      <vt:lpstr>prijsjaar1</vt:lpstr>
      <vt:lpstr>prijsjaarafroep</vt:lpstr>
      <vt:lpstr>prijsjaarafroep1</vt:lpstr>
      <vt:lpstr>prijsjaarnietmeewerkend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tzpjt10_1</vt:lpstr>
      <vt:lpstr>tzpjt11_1</vt:lpstr>
      <vt:lpstr>tzpjt12_1</vt:lpstr>
      <vt:lpstr>tzpjt13_1</vt:lpstr>
      <vt:lpstr>tzpjt14_1</vt:lpstr>
      <vt:lpstr>tzpjt15_1</vt:lpstr>
      <vt:lpstr>tzpjt16_1</vt:lpstr>
      <vt:lpstr>tzpjt17_1</vt:lpstr>
      <vt:lpstr>tzpjt18_1</vt:lpstr>
      <vt:lpstr>tzpjt19_1</vt:lpstr>
      <vt:lpstr>tzpjt2_1</vt:lpstr>
      <vt:lpstr>tzpjt20_1</vt:lpstr>
      <vt:lpstr>tzpjt21_1</vt:lpstr>
      <vt:lpstr>tzpjt3_1</vt:lpstr>
      <vt:lpstr>tzpjt4_1</vt:lpstr>
      <vt:lpstr>tzpjt5_1</vt:lpstr>
      <vt:lpstr>tzpjt6_1</vt:lpstr>
      <vt:lpstr>tzpjt7_1</vt:lpstr>
      <vt:lpstr>tzpjt8_1</vt:lpstr>
      <vt:lpstr>tzpjt9_1</vt:lpstr>
      <vt:lpstr>tzpmt1</vt:lpstr>
      <vt:lpstr>tzpmt1_1</vt:lpstr>
      <vt:lpstr>tzpmt10_1</vt:lpstr>
      <vt:lpstr>tzpmt11_1</vt:lpstr>
      <vt:lpstr>tzpmt12_1</vt:lpstr>
      <vt:lpstr>tzpmt13_1</vt:lpstr>
      <vt:lpstr>tzpmt14_1</vt:lpstr>
      <vt:lpstr>tzpmt15_1</vt:lpstr>
      <vt:lpstr>tzpmt16_1</vt:lpstr>
      <vt:lpstr>tzpmt17_1</vt:lpstr>
      <vt:lpstr>tzpmt18_1</vt:lpstr>
      <vt:lpstr>tzpmt19_1</vt:lpstr>
      <vt:lpstr>tzpmt2_1</vt:lpstr>
      <vt:lpstr>tzpmt20_1</vt:lpstr>
      <vt:lpstr>tzpmt21_1</vt:lpstr>
      <vt:lpstr>tzpmt3_1</vt:lpstr>
      <vt:lpstr>tzpmt4_1</vt:lpstr>
      <vt:lpstr>tzpmt5_1</vt:lpstr>
      <vt:lpstr>tzpmt6_1</vt:lpstr>
      <vt:lpstr>tzpmt7_1</vt:lpstr>
      <vt:lpstr>tzpmt8_1</vt:lpstr>
      <vt:lpstr>tzpmt9_1</vt:lpstr>
      <vt:lpstr>tzujt1</vt:lpstr>
      <vt:lpstr>tzujt1_1</vt:lpstr>
      <vt:lpstr>tzujt10_1</vt:lpstr>
      <vt:lpstr>tzujt11_1</vt:lpstr>
      <vt:lpstr>tzujt12_1</vt:lpstr>
      <vt:lpstr>tzujt13_1</vt:lpstr>
      <vt:lpstr>tzujt14_1</vt:lpstr>
      <vt:lpstr>tzujt15_1</vt:lpstr>
      <vt:lpstr>tzujt16_1</vt:lpstr>
      <vt:lpstr>tzujt17_1</vt:lpstr>
      <vt:lpstr>tzujt18_1</vt:lpstr>
      <vt:lpstr>tzujt19_1</vt:lpstr>
      <vt:lpstr>tzujt2_1</vt:lpstr>
      <vt:lpstr>tzujt20_1</vt:lpstr>
      <vt:lpstr>tzujt21_1</vt:lpstr>
      <vt:lpstr>tzujt3_1</vt:lpstr>
      <vt:lpstr>tzujt4_1</vt:lpstr>
      <vt:lpstr>tzujt5_1</vt:lpstr>
      <vt:lpstr>tzujt6_1</vt:lpstr>
      <vt:lpstr>tzujt7_1</vt:lpstr>
      <vt:lpstr>tzujt8_1</vt:lpstr>
      <vt:lpstr>tzujt9_1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uurtarief7</vt:lpstr>
      <vt:lpstr>uurtarief8</vt:lpstr>
      <vt:lpstr>uurtarief9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2022-02-14T07:09:49Z</dcterms:created>
  <dcterms:modified xsi:type="dcterms:W3CDTF">2022-02-14T07:11:03Z</dcterms:modified>
</cp:coreProperties>
</file>