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ROC ter AA\Aanbesteding 2022\Uitlever\"/>
    </mc:Choice>
  </mc:AlternateContent>
  <xr:revisionPtr revIDLastSave="0" documentId="13_ncr:1_{86D45FEB-E98D-48C0-8CFC-A769C0BC29C9}" xr6:coauthVersionLast="45" xr6:coauthVersionMax="45" xr10:uidLastSave="{00000000-0000-0000-0000-000000000000}"/>
  <bookViews>
    <workbookView xWindow="3510" yWindow="3510" windowWidth="21600" windowHeight="11385" firstSheet="5" activeTab="8" xr2:uid="{779D8F62-5A1E-4786-879E-72BF6BD828F9}"/>
  </bookViews>
  <sheets>
    <sheet name="Omreken" sheetId="1" r:id="rId1"/>
    <sheet name="Categorienormen" sheetId="2" r:id="rId2"/>
    <sheet name="Regulier werk" sheetId="3" r:id="rId3"/>
    <sheet name="Objectinformatie" sheetId="4" r:id="rId4"/>
    <sheet name="Objecten" sheetId="5" r:id="rId5"/>
    <sheet name="Niet-meewerkende objectleiding" sheetId="6" r:id="rId6"/>
    <sheet name="Totaalblad Objecten" sheetId="7" r:id="rId7"/>
    <sheet name="Afroep" sheetId="8" r:id="rId8"/>
    <sheet name="Afroep incidenteel" sheetId="9" r:id="rId9"/>
    <sheet name="Glas" sheetId="10" r:id="rId10"/>
    <sheet name="Totaal" sheetId="11" r:id="rId11"/>
  </sheets>
  <definedNames>
    <definedName name="_xlnm.Print_Titles" localSheetId="7">Afroep!$1:$3</definedName>
    <definedName name="_xlnm.Print_Titles" localSheetId="8">'Afroep incidenteel'!$1:$3</definedName>
    <definedName name="_xlnm.Print_Titles" localSheetId="1">Categorienormen!$1:$3</definedName>
    <definedName name="_xlnm.Print_Titles" localSheetId="9">Glas!$1:$3</definedName>
    <definedName name="_xlnm.Print_Titles" localSheetId="5">'Niet-meewerkende objectleiding'!$1:$3</definedName>
    <definedName name="_xlnm.Print_Titles" localSheetId="4">Objecten!$1:$3</definedName>
    <definedName name="_xlnm.Print_Titles" localSheetId="3">Objectinformatie!$A:$D,Objectinformatie!$1:$4</definedName>
    <definedName name="_xlnm.Print_Titles" localSheetId="2">'Regulier werk'!$1:$3</definedName>
    <definedName name="_xlnm.Print_Titles" localSheetId="10">Totaal!$1:$3</definedName>
    <definedName name="_xlnm.Print_Titles" localSheetId="6">'Totaalblad Objecten'!$1:$3</definedName>
    <definedName name="catdw_1_AHB_1">Categorienormen!$F$26</definedName>
    <definedName name="catdw_1_AHV_40">Categorienormen!$F$27</definedName>
    <definedName name="catdw_1_BHB_1">Categorienormen!$F$6</definedName>
    <definedName name="catdw_1_BHV_40">Categorienormen!$F$7</definedName>
    <definedName name="catdw_1_BZB_1">Categorienormen!$F$8</definedName>
    <definedName name="catdw_1_BZV_40">Categorienormen!$F$9</definedName>
    <definedName name="catdw_1_DHB_1">Categorienormen!$F$22</definedName>
    <definedName name="catdw_1_DHV_40">Categorienormen!$F$23</definedName>
    <definedName name="catdw_1_EHB_1">Categorienormen!$F$28</definedName>
    <definedName name="catdw_1_EHV_40">Categorienormen!$F$29</definedName>
    <definedName name="catdw_1_EZB_1">Categorienormen!$F$30</definedName>
    <definedName name="catdw_1_EZV_40">Categorienormen!$F$31</definedName>
    <definedName name="catdw_1_IHB_1">Categorienormen!$F$32</definedName>
    <definedName name="catdw_1_IHV_40">Categorienormen!$F$33</definedName>
    <definedName name="catdw_1_LHB_1">Categorienormen!$F$10</definedName>
    <definedName name="catdw_1_LHV_40">Categorienormen!$F$11</definedName>
    <definedName name="catdw_1_LZB_1">Categorienormen!$F$12</definedName>
    <definedName name="catdw_1_LZV_40">Categorienormen!$F$13</definedName>
    <definedName name="catdw_1_OHB_1">Categorienormen!$F$34</definedName>
    <definedName name="catdw_1_OHV_12">Categorienormen!$F$35</definedName>
    <definedName name="catdw_1_PHB_1">Categorienormen!$F$36</definedName>
    <definedName name="catdw_1_PHV_40">Categorienormen!$F$37</definedName>
    <definedName name="catdw_1_PMHB_1">Categorienormen!$F$14</definedName>
    <definedName name="catdw_1_PMHV_40">Categorienormen!$F$15</definedName>
    <definedName name="catdw_1_PMZB_1">Categorienormen!$F$16</definedName>
    <definedName name="catdw_1_PMZV_40">Categorienormen!$F$17</definedName>
    <definedName name="catdw_1_PSHB_1">Categorienormen!$F$18</definedName>
    <definedName name="catdw_1_PSHV_40">Categorienormen!$F$19</definedName>
    <definedName name="catdw_1_PUHB_1">Categorienormen!$F$20</definedName>
    <definedName name="catdw_1_PUHV_40">Categorienormen!$F$21</definedName>
    <definedName name="catdw_1_SHB_1">Categorienormen!$F$24</definedName>
    <definedName name="catdw_1_SHV_40">Categorienormen!$F$25</definedName>
    <definedName name="catdw_1_THB_1">Categorienormen!$F$38</definedName>
    <definedName name="catdw_1_THV_40">Categorienormen!$F$39</definedName>
    <definedName name="catdw_1_VHB_1">Categorienormen!$F$40</definedName>
    <definedName name="catdw_1_VHV_40">Categorienormen!$F$42</definedName>
    <definedName name="catdw_1_VHV_5">Categorienormen!$F$41</definedName>
    <definedName name="catdw_1_VZB_1">Categorienormen!$F$43</definedName>
    <definedName name="catdw_1_VZV_40">Categorienormen!$F$44</definedName>
    <definedName name="catdw_1_XBB_1">Categorienormen!$F$45</definedName>
    <definedName name="catfd_1_AHB_1">Categorienormen!$C$26</definedName>
    <definedName name="catfd_1_AHV_40">Categorienormen!$C$27</definedName>
    <definedName name="catfd_1_BHB_1">Categorienormen!$C$6</definedName>
    <definedName name="catfd_1_BHV_40">Categorienormen!$C$7</definedName>
    <definedName name="catfd_1_BZB_1">Categorienormen!$C$8</definedName>
    <definedName name="catfd_1_BZV_40">Categorienormen!$C$9</definedName>
    <definedName name="catfd_1_DHB_1">Categorienormen!$C$22</definedName>
    <definedName name="catfd_1_DHV_40">Categorienormen!$C$23</definedName>
    <definedName name="catfd_1_EHB_1">Categorienormen!$C$28</definedName>
    <definedName name="catfd_1_EHV_40">Categorienormen!$C$29</definedName>
    <definedName name="catfd_1_EZB_1">Categorienormen!$C$30</definedName>
    <definedName name="catfd_1_EZV_40">Categorienormen!$C$31</definedName>
    <definedName name="catfd_1_IHB_1">Categorienormen!$C$32</definedName>
    <definedName name="catfd_1_IHV_40">Categorienormen!$C$33</definedName>
    <definedName name="catfd_1_LHB_1">Categorienormen!$C$10</definedName>
    <definedName name="catfd_1_LHV_40">Categorienormen!$C$11</definedName>
    <definedName name="catfd_1_LZB_1">Categorienormen!$C$12</definedName>
    <definedName name="catfd_1_LZV_40">Categorienormen!$C$13</definedName>
    <definedName name="catfd_1_OHB_1">Categorienormen!$C$34</definedName>
    <definedName name="catfd_1_OHV_12">Categorienormen!$C$35</definedName>
    <definedName name="catfd_1_PHB_1">Categorienormen!$C$36</definedName>
    <definedName name="catfd_1_PHV_40">Categorienormen!$C$37</definedName>
    <definedName name="catfd_1_PMHB_1">Categorienormen!$C$14</definedName>
    <definedName name="catfd_1_PMHV_40">Categorienormen!$C$15</definedName>
    <definedName name="catfd_1_PMZB_1">Categorienormen!$C$16</definedName>
    <definedName name="catfd_1_PMZV_40">Categorienormen!$C$17</definedName>
    <definedName name="catfd_1_PSHB_1">Categorienormen!$C$18</definedName>
    <definedName name="catfd_1_PSHV_40">Categorienormen!$C$19</definedName>
    <definedName name="catfd_1_PUHB_1">Categorienormen!$C$20</definedName>
    <definedName name="catfd_1_PUHV_40">Categorienormen!$C$21</definedName>
    <definedName name="catfd_1_SHB_1">Categorienormen!$C$24</definedName>
    <definedName name="catfd_1_SHV_40">Categorienormen!$C$25</definedName>
    <definedName name="catfd_1_THB_1">Categorienormen!$C$38</definedName>
    <definedName name="catfd_1_THV_40">Categorienormen!$C$39</definedName>
    <definedName name="catfd_1_VHB_1">Categorienormen!$C$40</definedName>
    <definedName name="catfd_1_VHV_40">Categorienormen!$C$42</definedName>
    <definedName name="catfd_1_VHV_5">Categorienormen!$C$41</definedName>
    <definedName name="catfd_1_VZB_1">Categorienormen!$C$43</definedName>
    <definedName name="catfd_1_VZV_40">Categorienormen!$C$44</definedName>
    <definedName name="catfd_1_XBB_1">Categorienormen!$C$45</definedName>
    <definedName name="catpn_1_AHB_1">Categorienormen!$E$26</definedName>
    <definedName name="catpn_1_AHV_40">Categorienormen!$E$27</definedName>
    <definedName name="catpn_1_BHB_1">Categorienormen!$E$6</definedName>
    <definedName name="catpn_1_BHV_40">Categorienormen!$E$7</definedName>
    <definedName name="catpn_1_BZB_1">Categorienormen!$E$8</definedName>
    <definedName name="catpn_1_BZV_40">Categorienormen!$E$9</definedName>
    <definedName name="catpn_1_DHB_1">Categorienormen!$E$22</definedName>
    <definedName name="catpn_1_DHV_40">Categorienormen!$E$23</definedName>
    <definedName name="catpn_1_EHB_1">Categorienormen!$E$28</definedName>
    <definedName name="catpn_1_EHV_40">Categorienormen!$E$29</definedName>
    <definedName name="catpn_1_EZB_1">Categorienormen!$E$30</definedName>
    <definedName name="catpn_1_EZV_40">Categorienormen!$E$31</definedName>
    <definedName name="catpn_1_IHB_1">Categorienormen!$E$32</definedName>
    <definedName name="catpn_1_IHV_40">Categorienormen!$E$33</definedName>
    <definedName name="catpn_1_LHB_1">Categorienormen!$E$10</definedName>
    <definedName name="catpn_1_LHV_40">Categorienormen!$E$11</definedName>
    <definedName name="catpn_1_LZB_1">Categorienormen!$E$12</definedName>
    <definedName name="catpn_1_LZV_40">Categorienormen!$E$13</definedName>
    <definedName name="catpn_1_OHB_1">Categorienormen!$E$34</definedName>
    <definedName name="catpn_1_OHV_12">Categorienormen!$E$35</definedName>
    <definedName name="catpn_1_PHB_1">Categorienormen!$E$36</definedName>
    <definedName name="catpn_1_PHV_40">Categorienormen!$E$37</definedName>
    <definedName name="catpn_1_PMHB_1">Categorienormen!$E$14</definedName>
    <definedName name="catpn_1_PMHV_40">Categorienormen!$E$15</definedName>
    <definedName name="catpn_1_PMZB_1">Categorienormen!$E$16</definedName>
    <definedName name="catpn_1_PMZV_40">Categorienormen!$E$17</definedName>
    <definedName name="catpn_1_PSHB_1">Categorienormen!$E$18</definedName>
    <definedName name="catpn_1_PSHV_40">Categorienormen!$E$19</definedName>
    <definedName name="catpn_1_PUHB_1">Categorienormen!$E$20</definedName>
    <definedName name="catpn_1_PUHV_40">Categorienormen!$E$21</definedName>
    <definedName name="catpn_1_SHB_1">Categorienormen!$E$24</definedName>
    <definedName name="catpn_1_SHV_40">Categorienormen!$E$25</definedName>
    <definedName name="catpn_1_THB_1">Categorienormen!$E$38</definedName>
    <definedName name="catpn_1_THV_40">Categorienormen!$E$39</definedName>
    <definedName name="catpn_1_VHB_1">Categorienormen!$E$40</definedName>
    <definedName name="catpn_1_VHV_40">Categorienormen!$E$42</definedName>
    <definedName name="catpn_1_VHV_5">Categorienormen!$E$41</definedName>
    <definedName name="catpn_1_VZB_1">Categorienormen!$E$43</definedName>
    <definedName name="catpn_1_VZV_40">Categorienormen!$E$44</definedName>
    <definedName name="catpn_1_XBB_1">Categorienormen!$E$45</definedName>
    <definedName name="cattf_1_AHB_1">Categorienormen!$H$26</definedName>
    <definedName name="cattf_1_AHV_40">Categorienormen!$H$27</definedName>
    <definedName name="cattf_1_BHB_1">Categorienormen!$H$6</definedName>
    <definedName name="cattf_1_BHV_40">Categorienormen!$H$7</definedName>
    <definedName name="cattf_1_BZB_1">Categorienormen!$H$8</definedName>
    <definedName name="cattf_1_BZV_40">Categorienormen!$H$9</definedName>
    <definedName name="cattf_1_DHB_1">Categorienormen!$H$22</definedName>
    <definedName name="cattf_1_DHV_40">Categorienormen!$H$23</definedName>
    <definedName name="cattf_1_EHB_1">Categorienormen!$H$28</definedName>
    <definedName name="cattf_1_EHV_40">Categorienormen!$H$29</definedName>
    <definedName name="cattf_1_EZB_1">Categorienormen!$H$30</definedName>
    <definedName name="cattf_1_EZV_40">Categorienormen!$H$31</definedName>
    <definedName name="cattf_1_IHB_1">Categorienormen!$H$32</definedName>
    <definedName name="cattf_1_IHV_40">Categorienormen!$H$33</definedName>
    <definedName name="cattf_1_LHB_1">Categorienormen!$H$10</definedName>
    <definedName name="cattf_1_LHV_40">Categorienormen!$H$11</definedName>
    <definedName name="cattf_1_LZB_1">Categorienormen!$H$12</definedName>
    <definedName name="cattf_1_LZV_40">Categorienormen!$H$13</definedName>
    <definedName name="cattf_1_OHB_1">Categorienormen!$H$34</definedName>
    <definedName name="cattf_1_OHV_12">Categorienormen!$H$35</definedName>
    <definedName name="cattf_1_PHB_1">Categorienormen!$H$36</definedName>
    <definedName name="cattf_1_PHV_40">Categorienormen!$H$37</definedName>
    <definedName name="cattf_1_PMHB_1">Categorienormen!$H$14</definedName>
    <definedName name="cattf_1_PMHV_40">Categorienormen!$H$15</definedName>
    <definedName name="cattf_1_PMZB_1">Categorienormen!$H$16</definedName>
    <definedName name="cattf_1_PMZV_40">Categorienormen!$H$17</definedName>
    <definedName name="cattf_1_PSHB_1">Categorienormen!$H$18</definedName>
    <definedName name="cattf_1_PSHV_40">Categorienormen!$H$19</definedName>
    <definedName name="cattf_1_PUHB_1">Categorienormen!$H$20</definedName>
    <definedName name="cattf_1_PUHV_40">Categorienormen!$H$21</definedName>
    <definedName name="cattf_1_SHB_1">Categorienormen!$H$24</definedName>
    <definedName name="cattf_1_SHV_40">Categorienormen!$H$25</definedName>
    <definedName name="cattf_1_THB_1">Categorienormen!$H$38</definedName>
    <definedName name="cattf_1_THV_40">Categorienormen!$H$39</definedName>
    <definedName name="cattf_1_VHB_1">Categorienormen!$H$40</definedName>
    <definedName name="cattf_1_VHV_40">Categorienormen!$H$42</definedName>
    <definedName name="cattf_1_VHV_5">Categorienormen!$H$41</definedName>
    <definedName name="cattf_1_VZB_1">Categorienormen!$H$43</definedName>
    <definedName name="cattf_1_VZV_40">Categorienormen!$H$44</definedName>
    <definedName name="cattf_1_XBB_1">Categorienormen!$H$45</definedName>
    <definedName name="dagenperjaar1">Omreken!$B$9</definedName>
    <definedName name="dagenperweek1">Omreken!$B$10</definedName>
    <definedName name="dagsoorttabel1">Omreken!$A$13:$B$31</definedName>
    <definedName name="gemuurtarief1">'Regulier werk'!$I$44</definedName>
    <definedName name="kengetaltabel1">Objectinformatie!$G$5:$G$40</definedName>
    <definedName name="object1_opptabel1">Objectinformatie!$I$5:$I$40</definedName>
    <definedName name="object2_opptabel1">Objectinformatie!$J$5:$J$40</definedName>
    <definedName name="object3_opptabel1">Objectinformatie!$K$5:$K$40</definedName>
    <definedName name="object4_opptabel1">Objectinformatie!$L$5:$L$40</definedName>
    <definedName name="object5_opptabel1">Objectinformatie!$M$5:$M$40</definedName>
    <definedName name="objectprijs1_1">Objecten!$O$6</definedName>
    <definedName name="objectprijs2_1">Objecten!$O$7</definedName>
    <definedName name="objectprijs3_1">Objecten!$O$8</definedName>
    <definedName name="objectprijs4_1">Objecten!$O$9</definedName>
    <definedName name="objectprijs5_1">Objecten!$O$10</definedName>
    <definedName name="objecturen1_1">Objecten!$N$6</definedName>
    <definedName name="objecturen2_1">Objecten!$N$7</definedName>
    <definedName name="objecturen3_1">Objecten!$N$8</definedName>
    <definedName name="objecturen4_1">Objecten!$N$9</definedName>
    <definedName name="objecturen5_1">Objecten!$N$10</definedName>
    <definedName name="prijsdag1">'Regulier werk'!$K$42</definedName>
    <definedName name="prijsjaar">'Regulier werk'!$M$47</definedName>
    <definedName name="prijsjaar1">'Regulier werk'!$M$42</definedName>
    <definedName name="prijsjaarafroep">Afroep!$K$13</definedName>
    <definedName name="prijsjaarafroep1">Afroep!$K$11</definedName>
    <definedName name="prijsjaarglas">Glas!$K$11</definedName>
    <definedName name="prijsjaarglas1">Glas!$K$9</definedName>
    <definedName name="prijsjaarnietmeewerkend">'Niet-meewerkende objectleiding'!$J$67</definedName>
    <definedName name="prijsjaartotaal">Objecten!$O$14</definedName>
    <definedName name="prijsjaartotaal1">Objecten!$O$11</definedName>
    <definedName name="prijsjaartotaaloverzicht">'Totaalblad Objecten'!$F$10</definedName>
    <definedName name="prijsmaandtotaal1">Objecten!$P$11</definedName>
    <definedName name="prodnorm10">'Regulier werk'!$G$6</definedName>
    <definedName name="prodnorm11">'Regulier werk'!$G$7</definedName>
    <definedName name="prodnorm12">'Regulier werk'!$G$8</definedName>
    <definedName name="prodnorm13">'Regulier werk'!$G$9</definedName>
    <definedName name="prodnorm14">'Regulier werk'!$G$10</definedName>
    <definedName name="prodnorm15">'Regulier werk'!$G$11</definedName>
    <definedName name="prodnorm16">'Regulier werk'!$G$12</definedName>
    <definedName name="prodnorm17">'Regulier werk'!$G$13</definedName>
    <definedName name="prodnorm18">'Regulier werk'!$G$14</definedName>
    <definedName name="prodnorm19">'Regulier werk'!$G$15</definedName>
    <definedName name="prodnorm20">'Regulier werk'!$G$16</definedName>
    <definedName name="prodnorm21">'Regulier werk'!$G$17</definedName>
    <definedName name="prodnorm22">'Regulier werk'!$G$18</definedName>
    <definedName name="prodnorm23">'Regulier werk'!$G$19</definedName>
    <definedName name="prodnorm24">'Regulier werk'!$G$20</definedName>
    <definedName name="prodnorm25">'Regulier werk'!$G$21</definedName>
    <definedName name="prodnorm26">'Regulier werk'!$G$22</definedName>
    <definedName name="prodnorm27">'Regulier werk'!$G$23</definedName>
    <definedName name="prodnorm28">'Regulier werk'!$G$24</definedName>
    <definedName name="prodnorm29">'Regulier werk'!$G$25</definedName>
    <definedName name="prodnorm3">'Regulier werk'!$G$35</definedName>
    <definedName name="prodnorm30">'Regulier werk'!$G$26</definedName>
    <definedName name="prodnorm31">'Regulier werk'!$G$27</definedName>
    <definedName name="prodnorm32">'Regulier werk'!$G$28</definedName>
    <definedName name="prodnorm33">'Regulier werk'!$G$29</definedName>
    <definedName name="prodnorm34">'Regulier werk'!$G$30</definedName>
    <definedName name="prodnorm35">'Regulier werk'!$G$31</definedName>
    <definedName name="prodnorm36">'Regulier werk'!$G$32</definedName>
    <definedName name="prodnorm37">'Regulier werk'!$G$33</definedName>
    <definedName name="prodnorm38">'Regulier werk'!$G$34</definedName>
    <definedName name="prodnorm4">'Regulier werk'!$G$36</definedName>
    <definedName name="prodnorm5">'Regulier werk'!$G$37</definedName>
    <definedName name="prodnorm6">'Regulier werk'!$G$38</definedName>
    <definedName name="prodnorm7">'Regulier werk'!$G$39</definedName>
    <definedName name="prodnorm8">'Regulier werk'!$G$40</definedName>
    <definedName name="prodnorm9">'Regulier werk'!$G$41</definedName>
    <definedName name="taakfreqtabel1">Objectinformatie!$E$5:$E$40</definedName>
    <definedName name="tabeltype">Omreken!$B$5:$B$5</definedName>
    <definedName name="tarieftabel1">Objectinformatie!$H$5:$H$40</definedName>
    <definedName name="tzpjt1">'Niet-meewerkende objectleiding'!$J$51</definedName>
    <definedName name="tzpjt1_1">'Niet-meewerkende objectleiding'!$J$13</definedName>
    <definedName name="tzpjt1_2">'Niet-meewerkende objectleiding'!$J$62</definedName>
    <definedName name="tzpjt2">'Niet-meewerkende objectleiding'!$J$64</definedName>
    <definedName name="tzpjt2_1">'Niet-meewerkende objectleiding'!$J$22</definedName>
    <definedName name="tzpjt3_1">'Niet-meewerkende objectleiding'!$J$31</definedName>
    <definedName name="tzpjt4_1">'Niet-meewerkende objectleiding'!$J$40</definedName>
    <definedName name="tzpjt5_1">'Niet-meewerkende objectleiding'!$J$49</definedName>
    <definedName name="tzpmt1">'Niet-meewerkende objectleiding'!$K$51</definedName>
    <definedName name="tzpmt1_1">'Niet-meewerkende objectleiding'!$K$13</definedName>
    <definedName name="tzpmt1_2">'Niet-meewerkende objectleiding'!$K$62</definedName>
    <definedName name="tzpmt2">'Niet-meewerkende objectleiding'!$K$64</definedName>
    <definedName name="tzpmt2_1">'Niet-meewerkende objectleiding'!$K$22</definedName>
    <definedName name="tzpmt3_1">'Niet-meewerkende objectleiding'!$K$31</definedName>
    <definedName name="tzpmt4_1">'Niet-meewerkende objectleiding'!$K$40</definedName>
    <definedName name="tzpmt5_1">'Niet-meewerkende objectleiding'!$K$49</definedName>
    <definedName name="tzujt1">'Niet-meewerkende objectleiding'!$H$51</definedName>
    <definedName name="tzujt1_1">'Niet-meewerkende objectleiding'!$H$13</definedName>
    <definedName name="tzujt1_2">'Niet-meewerkende objectleiding'!$H$62</definedName>
    <definedName name="tzujt2">'Niet-meewerkende objectleiding'!$H$64</definedName>
    <definedName name="tzujt2_1">'Niet-meewerkende objectleiding'!$H$22</definedName>
    <definedName name="tzujt3_1">'Niet-meewerkende objectleiding'!$H$31</definedName>
    <definedName name="tzujt4_1">'Niet-meewerkende objectleiding'!$H$40</definedName>
    <definedName name="tzujt5_1">'Niet-meewerkende objectleiding'!$H$49</definedName>
    <definedName name="urendag1">'Regulier werk'!$J$42</definedName>
    <definedName name="urenjaar">'Regulier werk'!$L$47</definedName>
    <definedName name="urenjaar1">'Regulier werk'!$L$42</definedName>
    <definedName name="urenjaarnietmeewerkend">'Niet-meewerkende objectleiding'!$H$67</definedName>
    <definedName name="urenjaartotaal">Objecten!$N$14</definedName>
    <definedName name="urenjaartotaal1">Objecten!$N$11</definedName>
    <definedName name="urenjaartotaaloverzicht">'Totaalblad Objecten'!$E$10</definedName>
    <definedName name="uurfactortabel1">Objectinformatie!$F$5:$F$40</definedName>
    <definedName name="uurtarief10">'Regulier werk'!$I$6</definedName>
    <definedName name="uurtarief11">'Regulier werk'!$I$7</definedName>
    <definedName name="uurtarief12">'Regulier werk'!$I$8</definedName>
    <definedName name="uurtarief13">'Regulier werk'!$I$9</definedName>
    <definedName name="uurtarief14">'Regulier werk'!$I$10</definedName>
    <definedName name="uurtarief15">'Regulier werk'!$I$11</definedName>
    <definedName name="uurtarief16">'Regulier werk'!$I$12</definedName>
    <definedName name="uurtarief17">'Regulier werk'!$I$13</definedName>
    <definedName name="uurtarief18">'Regulier werk'!$I$14</definedName>
    <definedName name="uurtarief19">'Regulier werk'!$I$15</definedName>
    <definedName name="uurtarief20">'Regulier werk'!$I$16</definedName>
    <definedName name="uurtarief21">'Regulier werk'!$I$17</definedName>
    <definedName name="uurtarief22">'Regulier werk'!$I$18</definedName>
    <definedName name="uurtarief23">'Regulier werk'!$I$19</definedName>
    <definedName name="uurtarief24">'Regulier werk'!$I$20</definedName>
    <definedName name="uurtarief25">'Regulier werk'!$I$21</definedName>
    <definedName name="uurtarief26">'Regulier werk'!$I$22</definedName>
    <definedName name="uurtarief27">'Regulier werk'!$I$23</definedName>
    <definedName name="uurtarief28">'Regulier werk'!$I$24</definedName>
    <definedName name="uurtarief29">'Regulier werk'!$I$25</definedName>
    <definedName name="uurtarief3">'Regulier werk'!$I$35</definedName>
    <definedName name="uurtarief30">'Regulier werk'!$I$26</definedName>
    <definedName name="uurtarief31">'Regulier werk'!$I$27</definedName>
    <definedName name="uurtarief32">'Regulier werk'!$I$28</definedName>
    <definedName name="uurtarief33">'Regulier werk'!$I$29</definedName>
    <definedName name="uurtarief34">'Regulier werk'!$I$30</definedName>
    <definedName name="uurtarief35">'Regulier werk'!$I$31</definedName>
    <definedName name="uurtarief36">'Regulier werk'!$I$32</definedName>
    <definedName name="uurtarief37">'Regulier werk'!$I$33</definedName>
    <definedName name="uurtarief38">'Regulier werk'!$I$34</definedName>
    <definedName name="uurtarief4">'Regulier werk'!$I$36</definedName>
    <definedName name="uurtarief5">'Regulier werk'!$I$37</definedName>
    <definedName name="uurtarief6">'Regulier werk'!$I$38</definedName>
    <definedName name="uurtarief7">'Regulier werk'!$I$39</definedName>
    <definedName name="uurtarief8">'Regulier werk'!$I$40</definedName>
    <definedName name="uurtarief9">'Regulier werk'!$I$41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1" l="1"/>
  <c r="J8" i="10"/>
  <c r="J7" i="10"/>
  <c r="C7" i="10"/>
  <c r="K7" i="10" s="1"/>
  <c r="L7" i="10" s="1"/>
  <c r="J6" i="10"/>
  <c r="C6" i="10"/>
  <c r="K6" i="10" s="1"/>
  <c r="A1" i="10"/>
  <c r="A1" i="9"/>
  <c r="J10" i="8"/>
  <c r="C10" i="8"/>
  <c r="K10" i="8" s="1"/>
  <c r="L10" i="8" s="1"/>
  <c r="J9" i="8"/>
  <c r="J8" i="8"/>
  <c r="C8" i="8"/>
  <c r="K8" i="8" s="1"/>
  <c r="L8" i="8" s="1"/>
  <c r="J7" i="8"/>
  <c r="C7" i="8"/>
  <c r="K7" i="8" s="1"/>
  <c r="L7" i="8" s="1"/>
  <c r="J6" i="8"/>
  <c r="C6" i="8"/>
  <c r="K6" i="8" s="1"/>
  <c r="A1" i="8"/>
  <c r="A1" i="7"/>
  <c r="K61" i="6"/>
  <c r="J61" i="6"/>
  <c r="H61" i="6"/>
  <c r="C61" i="6"/>
  <c r="I61" i="6" s="1"/>
  <c r="J60" i="6"/>
  <c r="K60" i="6" s="1"/>
  <c r="H60" i="6"/>
  <c r="C60" i="6"/>
  <c r="I60" i="6" s="1"/>
  <c r="K59" i="6"/>
  <c r="K62" i="6" s="1"/>
  <c r="K64" i="6" s="1"/>
  <c r="J59" i="6"/>
  <c r="J62" i="6" s="1"/>
  <c r="J64" i="6" s="1"/>
  <c r="H59" i="6"/>
  <c r="H62" i="6" s="1"/>
  <c r="H64" i="6" s="1"/>
  <c r="C59" i="6"/>
  <c r="I59" i="6" s="1"/>
  <c r="K58" i="6"/>
  <c r="J58" i="6"/>
  <c r="H58" i="6"/>
  <c r="C58" i="6"/>
  <c r="I58" i="6" s="1"/>
  <c r="K57" i="6"/>
  <c r="J57" i="6"/>
  <c r="H57" i="6"/>
  <c r="C57" i="6"/>
  <c r="I57" i="6" s="1"/>
  <c r="J48" i="6"/>
  <c r="K48" i="6" s="1"/>
  <c r="H48" i="6"/>
  <c r="C48" i="6"/>
  <c r="I48" i="6" s="1"/>
  <c r="K47" i="6"/>
  <c r="J47" i="6"/>
  <c r="H47" i="6"/>
  <c r="C47" i="6"/>
  <c r="I47" i="6" s="1"/>
  <c r="J46" i="6"/>
  <c r="J49" i="6" s="1"/>
  <c r="H8" i="7" s="1"/>
  <c r="H46" i="6"/>
  <c r="H49" i="6" s="1"/>
  <c r="G8" i="7" s="1"/>
  <c r="C46" i="6"/>
  <c r="I46" i="6" s="1"/>
  <c r="K45" i="6"/>
  <c r="J45" i="6"/>
  <c r="I45" i="6"/>
  <c r="H45" i="6"/>
  <c r="C45" i="6"/>
  <c r="J44" i="6"/>
  <c r="K44" i="6" s="1"/>
  <c r="H44" i="6"/>
  <c r="J39" i="6"/>
  <c r="K39" i="6" s="1"/>
  <c r="H39" i="6"/>
  <c r="C39" i="6"/>
  <c r="I39" i="6" s="1"/>
  <c r="K38" i="6"/>
  <c r="J38" i="6"/>
  <c r="H38" i="6"/>
  <c r="C38" i="6"/>
  <c r="I38" i="6" s="1"/>
  <c r="J37" i="6"/>
  <c r="K37" i="6" s="1"/>
  <c r="H37" i="6"/>
  <c r="C37" i="6"/>
  <c r="I37" i="6" s="1"/>
  <c r="K36" i="6"/>
  <c r="J36" i="6"/>
  <c r="J40" i="6" s="1"/>
  <c r="H7" i="7" s="1"/>
  <c r="H36" i="6"/>
  <c r="H40" i="6" s="1"/>
  <c r="G7" i="7" s="1"/>
  <c r="C36" i="6"/>
  <c r="I36" i="6" s="1"/>
  <c r="K35" i="6"/>
  <c r="J35" i="6"/>
  <c r="H35" i="6"/>
  <c r="C35" i="6"/>
  <c r="I35" i="6" s="1"/>
  <c r="J30" i="6"/>
  <c r="K30" i="6" s="1"/>
  <c r="H30" i="6"/>
  <c r="C30" i="6"/>
  <c r="I30" i="6" s="1"/>
  <c r="K29" i="6"/>
  <c r="J29" i="6"/>
  <c r="H29" i="6"/>
  <c r="C29" i="6"/>
  <c r="I29" i="6" s="1"/>
  <c r="J28" i="6"/>
  <c r="K28" i="6" s="1"/>
  <c r="H28" i="6"/>
  <c r="C28" i="6"/>
  <c r="I28" i="6" s="1"/>
  <c r="K27" i="6"/>
  <c r="J27" i="6"/>
  <c r="H27" i="6"/>
  <c r="C27" i="6"/>
  <c r="I27" i="6" s="1"/>
  <c r="J26" i="6"/>
  <c r="J31" i="6" s="1"/>
  <c r="H6" i="7" s="1"/>
  <c r="H26" i="6"/>
  <c r="H31" i="6" s="1"/>
  <c r="G6" i="7" s="1"/>
  <c r="K21" i="6"/>
  <c r="J21" i="6"/>
  <c r="H21" i="6"/>
  <c r="C21" i="6"/>
  <c r="I21" i="6" s="1"/>
  <c r="K20" i="6"/>
  <c r="J20" i="6"/>
  <c r="H20" i="6"/>
  <c r="C20" i="6"/>
  <c r="I20" i="6" s="1"/>
  <c r="J19" i="6"/>
  <c r="K19" i="6" s="1"/>
  <c r="H19" i="6"/>
  <c r="I19" i="6" s="1"/>
  <c r="C19" i="6"/>
  <c r="J18" i="6"/>
  <c r="K18" i="6" s="1"/>
  <c r="I18" i="6"/>
  <c r="H18" i="6"/>
  <c r="C18" i="6"/>
  <c r="J17" i="6"/>
  <c r="J22" i="6" s="1"/>
  <c r="H5" i="7" s="1"/>
  <c r="H17" i="6"/>
  <c r="H22" i="6" s="1"/>
  <c r="G5" i="7" s="1"/>
  <c r="C17" i="6"/>
  <c r="I17" i="6" s="1"/>
  <c r="J13" i="6"/>
  <c r="H4" i="7" s="1"/>
  <c r="H13" i="6"/>
  <c r="G4" i="7" s="1"/>
  <c r="K12" i="6"/>
  <c r="J12" i="6"/>
  <c r="H12" i="6"/>
  <c r="C12" i="6"/>
  <c r="I12" i="6" s="1"/>
  <c r="K11" i="6"/>
  <c r="J11" i="6"/>
  <c r="H11" i="6"/>
  <c r="C11" i="6"/>
  <c r="I11" i="6" s="1"/>
  <c r="K10" i="6"/>
  <c r="J10" i="6"/>
  <c r="H10" i="6"/>
  <c r="C10" i="6"/>
  <c r="I10" i="6" s="1"/>
  <c r="J9" i="6"/>
  <c r="K9" i="6" s="1"/>
  <c r="I9" i="6"/>
  <c r="H9" i="6"/>
  <c r="C9" i="6"/>
  <c r="J8" i="6"/>
  <c r="K8" i="6" s="1"/>
  <c r="K13" i="6" s="1"/>
  <c r="H8" i="6"/>
  <c r="A1" i="6"/>
  <c r="A1" i="5"/>
  <c r="H40" i="4"/>
  <c r="G40" i="4"/>
  <c r="H39" i="4"/>
  <c r="G39" i="4"/>
  <c r="H38" i="4"/>
  <c r="G38" i="4"/>
  <c r="E38" i="4"/>
  <c r="H37" i="4"/>
  <c r="G37" i="4"/>
  <c r="H36" i="4"/>
  <c r="G36" i="4"/>
  <c r="H35" i="4"/>
  <c r="G35" i="4"/>
  <c r="H34" i="4"/>
  <c r="G34" i="4"/>
  <c r="E34" i="4"/>
  <c r="G29" i="4"/>
  <c r="E29" i="4"/>
  <c r="H28" i="4"/>
  <c r="G28" i="4"/>
  <c r="E28" i="4"/>
  <c r="H27" i="4"/>
  <c r="E27" i="4"/>
  <c r="H26" i="4"/>
  <c r="E26" i="4"/>
  <c r="G24" i="4"/>
  <c r="E21" i="4"/>
  <c r="H20" i="4"/>
  <c r="E20" i="4"/>
  <c r="G19" i="4"/>
  <c r="E19" i="4"/>
  <c r="G17" i="4"/>
  <c r="E17" i="4"/>
  <c r="G16" i="4"/>
  <c r="E16" i="4"/>
  <c r="G15" i="4"/>
  <c r="H12" i="4"/>
  <c r="G11" i="4"/>
  <c r="E10" i="4"/>
  <c r="G9" i="4"/>
  <c r="G7" i="4"/>
  <c r="E7" i="4"/>
  <c r="H6" i="4"/>
  <c r="G6" i="4"/>
  <c r="H5" i="4"/>
  <c r="G5" i="4"/>
  <c r="L41" i="3"/>
  <c r="M41" i="3" s="1"/>
  <c r="J41" i="3"/>
  <c r="K41" i="3" s="1"/>
  <c r="J40" i="3"/>
  <c r="L40" i="3" s="1"/>
  <c r="M40" i="3" s="1"/>
  <c r="J39" i="3"/>
  <c r="L39" i="3" s="1"/>
  <c r="M39" i="3" s="1"/>
  <c r="F39" i="3"/>
  <c r="J38" i="3"/>
  <c r="K38" i="3" s="1"/>
  <c r="F38" i="3"/>
  <c r="J37" i="3"/>
  <c r="K37" i="3" s="1"/>
  <c r="J36" i="3"/>
  <c r="L36" i="3" s="1"/>
  <c r="M36" i="3" s="1"/>
  <c r="J35" i="3"/>
  <c r="K35" i="3" s="1"/>
  <c r="I34" i="3"/>
  <c r="H33" i="4" s="1"/>
  <c r="G34" i="3"/>
  <c r="G33" i="4" s="1"/>
  <c r="F34" i="3"/>
  <c r="J33" i="3"/>
  <c r="L33" i="3" s="1"/>
  <c r="M33" i="3" s="1"/>
  <c r="I33" i="3"/>
  <c r="H32" i="4" s="1"/>
  <c r="G33" i="3"/>
  <c r="G32" i="4" s="1"/>
  <c r="I32" i="3"/>
  <c r="H31" i="4" s="1"/>
  <c r="G32" i="3"/>
  <c r="J32" i="3" s="1"/>
  <c r="F32" i="3"/>
  <c r="I31" i="3"/>
  <c r="G31" i="3"/>
  <c r="J31" i="3" s="1"/>
  <c r="L31" i="3" s="1"/>
  <c r="M31" i="3" s="1"/>
  <c r="I30" i="3"/>
  <c r="H29" i="4" s="1"/>
  <c r="G30" i="3"/>
  <c r="J30" i="3" s="1"/>
  <c r="F30" i="3"/>
  <c r="J29" i="3"/>
  <c r="L29" i="3" s="1"/>
  <c r="M29" i="3" s="1"/>
  <c r="I29" i="3"/>
  <c r="G29" i="3"/>
  <c r="I28" i="3"/>
  <c r="G28" i="3"/>
  <c r="J28" i="3" s="1"/>
  <c r="L28" i="3" s="1"/>
  <c r="M28" i="3" s="1"/>
  <c r="F28" i="3"/>
  <c r="J27" i="3"/>
  <c r="L27" i="3" s="1"/>
  <c r="M27" i="3" s="1"/>
  <c r="I27" i="3"/>
  <c r="G27" i="3"/>
  <c r="G26" i="4" s="1"/>
  <c r="I26" i="3"/>
  <c r="H25" i="4" s="1"/>
  <c r="G26" i="3"/>
  <c r="G25" i="4" s="1"/>
  <c r="F26" i="3"/>
  <c r="J25" i="3"/>
  <c r="L25" i="3" s="1"/>
  <c r="M25" i="3" s="1"/>
  <c r="I25" i="3"/>
  <c r="H24" i="4" s="1"/>
  <c r="G25" i="3"/>
  <c r="I24" i="3"/>
  <c r="H23" i="4" s="1"/>
  <c r="G24" i="3"/>
  <c r="G23" i="4" s="1"/>
  <c r="J23" i="3"/>
  <c r="L23" i="3" s="1"/>
  <c r="M23" i="3" s="1"/>
  <c r="I23" i="3"/>
  <c r="H22" i="4" s="1"/>
  <c r="G23" i="3"/>
  <c r="G22" i="4" s="1"/>
  <c r="F23" i="3"/>
  <c r="I22" i="3"/>
  <c r="H21" i="4" s="1"/>
  <c r="G22" i="3"/>
  <c r="J22" i="3" s="1"/>
  <c r="J21" i="3"/>
  <c r="K21" i="3" s="1"/>
  <c r="I21" i="3"/>
  <c r="G21" i="3"/>
  <c r="G20" i="4" s="1"/>
  <c r="J20" i="3"/>
  <c r="L20" i="3" s="1"/>
  <c r="M20" i="3" s="1"/>
  <c r="I20" i="3"/>
  <c r="K20" i="3" s="1"/>
  <c r="G20" i="3"/>
  <c r="F20" i="3"/>
  <c r="I19" i="3"/>
  <c r="H18" i="4" s="1"/>
  <c r="G19" i="3"/>
  <c r="J19" i="3" s="1"/>
  <c r="J18" i="3"/>
  <c r="L18" i="3" s="1"/>
  <c r="M18" i="3" s="1"/>
  <c r="I18" i="3"/>
  <c r="H17" i="4" s="1"/>
  <c r="G18" i="3"/>
  <c r="F18" i="3"/>
  <c r="J17" i="3"/>
  <c r="L17" i="3" s="1"/>
  <c r="M17" i="3" s="1"/>
  <c r="I17" i="3"/>
  <c r="K17" i="3" s="1"/>
  <c r="G17" i="3"/>
  <c r="J16" i="3"/>
  <c r="L16" i="3" s="1"/>
  <c r="M16" i="3" s="1"/>
  <c r="I16" i="3"/>
  <c r="H15" i="4" s="1"/>
  <c r="G16" i="3"/>
  <c r="I15" i="3"/>
  <c r="H14" i="4" s="1"/>
  <c r="G15" i="3"/>
  <c r="G14" i="4" s="1"/>
  <c r="F15" i="3"/>
  <c r="I14" i="3"/>
  <c r="H13" i="4" s="1"/>
  <c r="G14" i="3"/>
  <c r="G13" i="4" s="1"/>
  <c r="L13" i="3"/>
  <c r="M13" i="3" s="1"/>
  <c r="J13" i="3"/>
  <c r="K13" i="3" s="1"/>
  <c r="I13" i="3"/>
  <c r="G13" i="3"/>
  <c r="G12" i="4" s="1"/>
  <c r="F13" i="3"/>
  <c r="J12" i="3"/>
  <c r="L12" i="3" s="1"/>
  <c r="M12" i="3" s="1"/>
  <c r="I12" i="3"/>
  <c r="K12" i="3" s="1"/>
  <c r="G12" i="3"/>
  <c r="I11" i="3"/>
  <c r="G11" i="3"/>
  <c r="G10" i="4" s="1"/>
  <c r="F11" i="3"/>
  <c r="J10" i="3"/>
  <c r="K10" i="3" s="1"/>
  <c r="I10" i="3"/>
  <c r="H9" i="4" s="1"/>
  <c r="G10" i="3"/>
  <c r="I9" i="3"/>
  <c r="G9" i="3"/>
  <c r="G8" i="4" s="1"/>
  <c r="I8" i="3"/>
  <c r="G8" i="3"/>
  <c r="J8" i="3" s="1"/>
  <c r="L8" i="3" s="1"/>
  <c r="M8" i="3" s="1"/>
  <c r="F8" i="3"/>
  <c r="I7" i="3"/>
  <c r="G7" i="3"/>
  <c r="J7" i="3" s="1"/>
  <c r="L7" i="3" s="1"/>
  <c r="L6" i="3"/>
  <c r="M6" i="3" s="1"/>
  <c r="K6" i="3"/>
  <c r="J6" i="3"/>
  <c r="I6" i="3"/>
  <c r="G6" i="3"/>
  <c r="A1" i="3"/>
  <c r="A1" i="2"/>
  <c r="B31" i="1"/>
  <c r="E33" i="4" s="1"/>
  <c r="B30" i="1"/>
  <c r="C8" i="10" s="1"/>
  <c r="K8" i="10" s="1"/>
  <c r="L8" i="10" s="1"/>
  <c r="B29" i="1"/>
  <c r="B28" i="1"/>
  <c r="B27" i="1"/>
  <c r="B26" i="1"/>
  <c r="C9" i="8" s="1"/>
  <c r="K9" i="8" s="1"/>
  <c r="L9" i="8" s="1"/>
  <c r="B25" i="1"/>
  <c r="B24" i="1"/>
  <c r="B23" i="1"/>
  <c r="E23" i="4" s="1"/>
  <c r="B22" i="1"/>
  <c r="B21" i="1"/>
  <c r="E15" i="4" s="1"/>
  <c r="B20" i="1"/>
  <c r="F9" i="3" s="1"/>
  <c r="B19" i="1"/>
  <c r="B18" i="1"/>
  <c r="B17" i="1"/>
  <c r="B16" i="1"/>
  <c r="B15" i="1"/>
  <c r="C26" i="6" s="1"/>
  <c r="I26" i="6" s="1"/>
  <c r="B14" i="1"/>
  <c r="B13" i="1"/>
  <c r="G10" i="7" l="1"/>
  <c r="K7" i="3"/>
  <c r="K11" i="8"/>
  <c r="L6" i="8"/>
  <c r="K19" i="3"/>
  <c r="L19" i="3"/>
  <c r="M19" i="3" s="1"/>
  <c r="L22" i="3"/>
  <c r="M22" i="3" s="1"/>
  <c r="K22" i="3"/>
  <c r="K30" i="3"/>
  <c r="L30" i="3"/>
  <c r="M30" i="3" s="1"/>
  <c r="K9" i="10"/>
  <c r="L6" i="10"/>
  <c r="K8" i="3"/>
  <c r="H10" i="7"/>
  <c r="K31" i="3"/>
  <c r="K40" i="6"/>
  <c r="M7" i="3"/>
  <c r="K28" i="3"/>
  <c r="L32" i="3"/>
  <c r="M32" i="3" s="1"/>
  <c r="K32" i="3"/>
  <c r="K27" i="3"/>
  <c r="J9" i="3"/>
  <c r="L9" i="3" s="1"/>
  <c r="M9" i="3" s="1"/>
  <c r="F14" i="3"/>
  <c r="K18" i="3"/>
  <c r="L37" i="3"/>
  <c r="M37" i="3" s="1"/>
  <c r="E6" i="4"/>
  <c r="H16" i="4"/>
  <c r="G27" i="4"/>
  <c r="K26" i="6"/>
  <c r="K31" i="6" s="1"/>
  <c r="J14" i="3"/>
  <c r="L14" i="3" s="1"/>
  <c r="M14" i="3" s="1"/>
  <c r="F19" i="3"/>
  <c r="K23" i="3"/>
  <c r="E39" i="4"/>
  <c r="K46" i="6"/>
  <c r="K49" i="6" s="1"/>
  <c r="F10" i="3"/>
  <c r="E18" i="4"/>
  <c r="F33" i="3"/>
  <c r="L38" i="3"/>
  <c r="M38" i="3" s="1"/>
  <c r="H7" i="4"/>
  <c r="G18" i="4"/>
  <c r="C8" i="6"/>
  <c r="I8" i="6" s="1"/>
  <c r="K17" i="6"/>
  <c r="K22" i="6" s="1"/>
  <c r="K51" i="6" s="1"/>
  <c r="K67" i="6" s="1"/>
  <c r="K69" i="6" s="1"/>
  <c r="K14" i="3"/>
  <c r="F24" i="3"/>
  <c r="E8" i="4"/>
  <c r="E40" i="4"/>
  <c r="L10" i="3"/>
  <c r="M10" i="3" s="1"/>
  <c r="J24" i="3"/>
  <c r="L24" i="3" s="1"/>
  <c r="M24" i="3" s="1"/>
  <c r="F29" i="3"/>
  <c r="K33" i="3"/>
  <c r="K39" i="3"/>
  <c r="E9" i="4"/>
  <c r="H19" i="4"/>
  <c r="G30" i="4"/>
  <c r="H30" i="4"/>
  <c r="H8" i="4"/>
  <c r="E30" i="4"/>
  <c r="J15" i="3"/>
  <c r="L15" i="3" s="1"/>
  <c r="M15" i="3" s="1"/>
  <c r="E31" i="4"/>
  <c r="J11" i="3"/>
  <c r="L11" i="3" s="1"/>
  <c r="M11" i="3" s="1"/>
  <c r="H10" i="4"/>
  <c r="G21" i="4"/>
  <c r="F6" i="3"/>
  <c r="K29" i="3"/>
  <c r="F16" i="3"/>
  <c r="K40" i="3"/>
  <c r="E32" i="4"/>
  <c r="F7" i="3"/>
  <c r="J34" i="3"/>
  <c r="E11" i="4"/>
  <c r="F40" i="3"/>
  <c r="G31" i="4"/>
  <c r="F25" i="3"/>
  <c r="E22" i="4"/>
  <c r="F21" i="3"/>
  <c r="K25" i="3"/>
  <c r="F41" i="3"/>
  <c r="H11" i="4"/>
  <c r="H51" i="6"/>
  <c r="H67" i="6" s="1"/>
  <c r="C5" i="11" s="1"/>
  <c r="C9" i="11" s="1"/>
  <c r="F12" i="3"/>
  <c r="K16" i="3"/>
  <c r="E12" i="4"/>
  <c r="J51" i="6"/>
  <c r="J67" i="6" s="1"/>
  <c r="F35" i="3"/>
  <c r="C44" i="6"/>
  <c r="I44" i="6" s="1"/>
  <c r="L21" i="3"/>
  <c r="M21" i="3" s="1"/>
  <c r="L35" i="3"/>
  <c r="M35" i="3" s="1"/>
  <c r="E24" i="4"/>
  <c r="F17" i="3"/>
  <c r="J26" i="3"/>
  <c r="F31" i="3"/>
  <c r="E35" i="4"/>
  <c r="E14" i="4"/>
  <c r="E25" i="4"/>
  <c r="K36" i="3"/>
  <c r="E36" i="4"/>
  <c r="E13" i="4"/>
  <c r="F22" i="3"/>
  <c r="F36" i="3"/>
  <c r="F27" i="3"/>
  <c r="F37" i="3"/>
  <c r="E5" i="4"/>
  <c r="E37" i="4"/>
  <c r="K11" i="10" l="1"/>
  <c r="L9" i="10"/>
  <c r="J69" i="6"/>
  <c r="D5" i="11"/>
  <c r="E5" i="11" s="1"/>
  <c r="K34" i="3"/>
  <c r="L34" i="3"/>
  <c r="M34" i="3" s="1"/>
  <c r="K9" i="3"/>
  <c r="K42" i="3" s="1"/>
  <c r="K7" i="5"/>
  <c r="K10" i="5"/>
  <c r="G7" i="5"/>
  <c r="G10" i="5"/>
  <c r="K9" i="5"/>
  <c r="G8" i="5"/>
  <c r="K6" i="5"/>
  <c r="G6" i="5"/>
  <c r="G9" i="5"/>
  <c r="K8" i="5"/>
  <c r="K13" i="8"/>
  <c r="L11" i="8"/>
  <c r="K11" i="3"/>
  <c r="K26" i="3"/>
  <c r="L26" i="3"/>
  <c r="M26" i="3" s="1"/>
  <c r="M42" i="3" s="1"/>
  <c r="M47" i="3" s="1"/>
  <c r="K15" i="3"/>
  <c r="J42" i="3"/>
  <c r="L42" i="3"/>
  <c r="K24" i="3"/>
  <c r="L47" i="3" l="1"/>
  <c r="I44" i="3"/>
  <c r="L13" i="8"/>
  <c r="D6" i="11"/>
  <c r="E6" i="11" s="1"/>
  <c r="J9" i="5"/>
  <c r="N9" i="5" s="1"/>
  <c r="E7" i="7" s="1"/>
  <c r="H9" i="5"/>
  <c r="H6" i="5"/>
  <c r="J6" i="5"/>
  <c r="N6" i="5" s="1"/>
  <c r="J8" i="5"/>
  <c r="N8" i="5" s="1"/>
  <c r="E6" i="7" s="1"/>
  <c r="H8" i="5"/>
  <c r="J7" i="5"/>
  <c r="N7" i="5" s="1"/>
  <c r="E5" i="7" s="1"/>
  <c r="H7" i="5"/>
  <c r="H10" i="5"/>
  <c r="J10" i="5"/>
  <c r="N10" i="5" s="1"/>
  <c r="E8" i="7" s="1"/>
  <c r="D7" i="11"/>
  <c r="E7" i="11" s="1"/>
  <c r="L11" i="10"/>
  <c r="N11" i="5" l="1"/>
  <c r="N14" i="5" s="1"/>
  <c r="E4" i="7"/>
  <c r="E10" i="7" s="1"/>
  <c r="B4" i="11" s="1"/>
  <c r="B9" i="11" s="1"/>
  <c r="B11" i="11" s="1"/>
  <c r="F7" i="5"/>
  <c r="L7" i="5" s="1"/>
  <c r="M7" i="5" s="1"/>
  <c r="O7" i="5" s="1"/>
  <c r="F10" i="5"/>
  <c r="L10" i="5" s="1"/>
  <c r="M10" i="5" s="1"/>
  <c r="O10" i="5" s="1"/>
  <c r="F9" i="5"/>
  <c r="L9" i="5" s="1"/>
  <c r="M9" i="5" s="1"/>
  <c r="O9" i="5" s="1"/>
  <c r="F6" i="5"/>
  <c r="L6" i="5" s="1"/>
  <c r="M6" i="5" s="1"/>
  <c r="O6" i="5" s="1"/>
  <c r="F8" i="5"/>
  <c r="L8" i="5" s="1"/>
  <c r="M8" i="5" s="1"/>
  <c r="O8" i="5" s="1"/>
  <c r="F6" i="7" l="1"/>
  <c r="I6" i="7" s="1"/>
  <c r="J6" i="7" s="1"/>
  <c r="K6" i="7" s="1"/>
  <c r="P8" i="5"/>
  <c r="O11" i="5"/>
  <c r="O14" i="5" s="1"/>
  <c r="O16" i="5" s="1"/>
  <c r="F4" i="7"/>
  <c r="P6" i="5"/>
  <c r="P9" i="5"/>
  <c r="F7" i="7"/>
  <c r="I7" i="7" s="1"/>
  <c r="J7" i="7" s="1"/>
  <c r="K7" i="7" s="1"/>
  <c r="P7" i="5"/>
  <c r="F5" i="7"/>
  <c r="I5" i="7" s="1"/>
  <c r="J5" i="7" s="1"/>
  <c r="K5" i="7" s="1"/>
  <c r="P10" i="5"/>
  <c r="F8" i="7"/>
  <c r="I8" i="7" s="1"/>
  <c r="J8" i="7" s="1"/>
  <c r="K8" i="7" s="1"/>
  <c r="F10" i="7" l="1"/>
  <c r="D4" i="11" s="1"/>
  <c r="I4" i="7"/>
  <c r="P11" i="5"/>
  <c r="P14" i="5" s="1"/>
  <c r="P16" i="5" s="1"/>
  <c r="J4" i="7" l="1"/>
  <c r="I10" i="7"/>
  <c r="D9" i="11"/>
  <c r="E9" i="11" s="1"/>
  <c r="E4" i="11"/>
  <c r="J10" i="7" l="1"/>
  <c r="K4" i="7"/>
  <c r="K10" i="7" s="1"/>
</calcChain>
</file>

<file path=xl/sharedStrings.xml><?xml version="1.0" encoding="utf-8"?>
<sst xmlns="http://schemas.openxmlformats.org/spreadsheetml/2006/main" count="1099" uniqueCount="419">
  <si>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</si>
  <si>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</si>
  <si>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</si>
  <si>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</si>
  <si>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</si>
  <si>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</si>
  <si>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</si>
  <si>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</si>
  <si>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</si>
  <si>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</si>
  <si>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</si>
  <si>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200J</t>
  </si>
  <si>
    <t>160J</t>
  </si>
  <si>
    <t>3W</t>
  </si>
  <si>
    <t>120J</t>
  </si>
  <si>
    <t>2W</t>
  </si>
  <si>
    <t>100J</t>
  </si>
  <si>
    <t>80J</t>
  </si>
  <si>
    <t>1W</t>
  </si>
  <si>
    <t>40J</t>
  </si>
  <si>
    <t>26J</t>
  </si>
  <si>
    <t>12J</t>
  </si>
  <si>
    <t>10J</t>
  </si>
  <si>
    <t>6J</t>
  </si>
  <si>
    <t>4J</t>
  </si>
  <si>
    <t>3J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</si>
  <si>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</si>
  <si>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</si>
  <si>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</si>
  <si>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</si>
  <si>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</si>
  <si>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</si>
  <si>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</si>
  <si>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</si>
  <si>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</si>
  <si>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</si>
  <si>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</si>
  <si>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BHB</t>
  </si>
  <si>
    <t xml:space="preserve">B    </t>
  </si>
  <si>
    <t>Kantoor-/personeels-/vergaderruimte - harde vloeren (basis)</t>
  </si>
  <si>
    <t>m²/uur</t>
  </si>
  <si>
    <t>BHV</t>
  </si>
  <si>
    <t>Kantoor-/personeels-/vergaderruimte - harde vloeren (volledig)</t>
  </si>
  <si>
    <t>BZB</t>
  </si>
  <si>
    <t>Kantoor-/personeels-/vergaderruimte - zachte vloeren (basis)</t>
  </si>
  <si>
    <t>BZV</t>
  </si>
  <si>
    <t>Kantoor-/personeels-/vergaderruimte - zachte vloeren (volledig)</t>
  </si>
  <si>
    <t>LHB</t>
  </si>
  <si>
    <t>Leslokalen/studieruimte - harde vloeren (basis)</t>
  </si>
  <si>
    <t>LHV</t>
  </si>
  <si>
    <t>Leslokalen/studieruimte - harde vloeren (volledig)</t>
  </si>
  <si>
    <t>LZB</t>
  </si>
  <si>
    <t>Leslokalen/studieruimte - zachte vloeren (basis)</t>
  </si>
  <si>
    <t>LZV</t>
  </si>
  <si>
    <t>Leslokalen/studieruimte - zachte vloeren (volledig)</t>
  </si>
  <si>
    <t>PMHB</t>
  </si>
  <si>
    <t xml:space="preserve">PM   </t>
  </si>
  <si>
    <t>Praktijklokaal minimaal - harde vloeren (basis)</t>
  </si>
  <si>
    <t>PMHV</t>
  </si>
  <si>
    <t>Praktijklokaal minimaal - harde vloeren (volledig)</t>
  </si>
  <si>
    <t>PMZB</t>
  </si>
  <si>
    <t>Praktijklokaal minimaal - zachte vloeren (basis)</t>
  </si>
  <si>
    <t>PMZV</t>
  </si>
  <si>
    <t>Praktijklokaal minimaal - zachte vloeren (volledig)</t>
  </si>
  <si>
    <t>PSHB</t>
  </si>
  <si>
    <t xml:space="preserve">PS   </t>
  </si>
  <si>
    <t>Praktijklokaal specialistisch - harde vloeren (basis)</t>
  </si>
  <si>
    <t>PSHV</t>
  </si>
  <si>
    <t>Praktijklokaal specialistisch - harde vloeren (volledig)</t>
  </si>
  <si>
    <t>PUHB</t>
  </si>
  <si>
    <t xml:space="preserve">PU   </t>
  </si>
  <si>
    <t>Praktijklokaal uitgebreid - harde vloeren (basis)</t>
  </si>
  <si>
    <t>PUHV</t>
  </si>
  <si>
    <t>Praktijklokaal uitgebreid - harde vloeren (volledig)</t>
  </si>
  <si>
    <t>DHB</t>
  </si>
  <si>
    <t xml:space="preserve">S    </t>
  </si>
  <si>
    <t>Douche/wasruimte - harde vloeren (basis)</t>
  </si>
  <si>
    <t>DHV</t>
  </si>
  <si>
    <t>Douche/wasruimte - harde vloeren (volledig)</t>
  </si>
  <si>
    <t>SHB</t>
  </si>
  <si>
    <t>Sanitaire ruimte/toiletgroep - harde vloeren (basis)</t>
  </si>
  <si>
    <t>SHV</t>
  </si>
  <si>
    <t>Sanitaire ruimte/toiletgroep - harde vloeren (volledig)</t>
  </si>
  <si>
    <t>AHB</t>
  </si>
  <si>
    <t xml:space="preserve">V    </t>
  </si>
  <si>
    <t>Aula/pauzeruimte - harde vloeren (basis)</t>
  </si>
  <si>
    <t>AHV</t>
  </si>
  <si>
    <t>Aula/pauzeruimte - harde vloeren (volledig)</t>
  </si>
  <si>
    <t>EHB</t>
  </si>
  <si>
    <t>Entree - harde vloeren (basis)</t>
  </si>
  <si>
    <t>EHV</t>
  </si>
  <si>
    <t>Entree - harde vloeren (volledig)</t>
  </si>
  <si>
    <t>EZB</t>
  </si>
  <si>
    <t>Entree - zachte vloeren (basis)</t>
  </si>
  <si>
    <t>EZV</t>
  </si>
  <si>
    <t>Entree - zachte vloeren (volledig)</t>
  </si>
  <si>
    <t>IHB</t>
  </si>
  <si>
    <t>Lift - harde vloeren (basis)</t>
  </si>
  <si>
    <t>IHV</t>
  </si>
  <si>
    <t>Lift - harde vloeren (volledig)</t>
  </si>
  <si>
    <t>OHB</t>
  </si>
  <si>
    <t>Archief/bergruimte/magazijn - harde vloeren (basis)</t>
  </si>
  <si>
    <t>OHV</t>
  </si>
  <si>
    <t>Archief/bergruimte/magazijn - harde vloeren (volledig)</t>
  </si>
  <si>
    <t>PHB</t>
  </si>
  <si>
    <t>Pantry/keuken - harde vloeren (basis)</t>
  </si>
  <si>
    <t>PHV</t>
  </si>
  <si>
    <t>Pantry/keuken - harde vloeren (volledig)</t>
  </si>
  <si>
    <t>THB</t>
  </si>
  <si>
    <t>Trap - harde vloeren (basis)</t>
  </si>
  <si>
    <t>THV</t>
  </si>
  <si>
    <t>Trap - harde vloeren (volledig)</t>
  </si>
  <si>
    <t>VHB</t>
  </si>
  <si>
    <t>Verkeersruimte/garderobe/reprografie - harde vloeren (basis)</t>
  </si>
  <si>
    <t>VHV</t>
  </si>
  <si>
    <t>Verkeersruimte/garderobe/reprografie - harde vloeren (volledig)</t>
  </si>
  <si>
    <t>VZB</t>
  </si>
  <si>
    <t>Verkeersruimte/garderobe/reprografie - zachte vloeren (basis)</t>
  </si>
  <si>
    <t>VZV</t>
  </si>
  <si>
    <t>Verkeersruimte/garderobe/reprografie - zachte vloeren (volledig)</t>
  </si>
  <si>
    <t>XBB</t>
  </si>
  <si>
    <t xml:space="preserve">X    </t>
  </si>
  <si>
    <t>Periodiek vloeren beschermd (basis)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</si>
  <si>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</si>
  <si>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</si>
  <si>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</si>
  <si>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</si>
  <si>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</si>
  <si>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</si>
  <si>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</si>
  <si>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</si>
  <si>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</si>
  <si>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</si>
  <si>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Aula/pauzeruimte - harde vloeren</t>
  </si>
  <si>
    <t>BH</t>
  </si>
  <si>
    <t>Kantoor/personeels-/vergaderrruimte - harde vloeren</t>
  </si>
  <si>
    <t>BZ</t>
  </si>
  <si>
    <t>Kantoor/personeels-/vergaderrruimte - zachte vloeren</t>
  </si>
  <si>
    <t>DH</t>
  </si>
  <si>
    <t>Douche/wasruimte - harde vloeren</t>
  </si>
  <si>
    <t>EH</t>
  </si>
  <si>
    <t>Entree - harde vloeren</t>
  </si>
  <si>
    <t>EZ</t>
  </si>
  <si>
    <t>Entree - zachte vloeren</t>
  </si>
  <si>
    <t>IH</t>
  </si>
  <si>
    <t>Lift - harde vloeren</t>
  </si>
  <si>
    <t>LH</t>
  </si>
  <si>
    <t>Leslokaal/studieruimte - harde vloeren</t>
  </si>
  <si>
    <t>LZ</t>
  </si>
  <si>
    <t>Leslokaal/studieruimte - zachte vloeren</t>
  </si>
  <si>
    <t>OH</t>
  </si>
  <si>
    <t>Archief/magazijn/opslag harde vloeren</t>
  </si>
  <si>
    <t>PH</t>
  </si>
  <si>
    <t>Pantry/keuken - harde vloeren</t>
  </si>
  <si>
    <t>PMH</t>
  </si>
  <si>
    <t>Praktijklokaal minimaal - harde vloeren</t>
  </si>
  <si>
    <t>PMZ</t>
  </si>
  <si>
    <t>Praktijklokaal minimaal - zachte vloeren</t>
  </si>
  <si>
    <t>PSH</t>
  </si>
  <si>
    <t>Praktijklokaal specialistisch - harde vloeren</t>
  </si>
  <si>
    <t>PUH</t>
  </si>
  <si>
    <t>Praktijklokaal uitgebreid - harde vloeren</t>
  </si>
  <si>
    <t>SH</t>
  </si>
  <si>
    <t>Sanitaire ruimte/toiletten - harde vloeren</t>
  </si>
  <si>
    <t>SHN</t>
  </si>
  <si>
    <t>Sanitaire ruimte/toiletten - harde vloeren - naloop</t>
  </si>
  <si>
    <t>TH</t>
  </si>
  <si>
    <t>Trap - harde vloeren</t>
  </si>
  <si>
    <t>VH</t>
  </si>
  <si>
    <t>Verkeersruimte/garderobe/reprografie - harde vloeren</t>
  </si>
  <si>
    <t>VZ</t>
  </si>
  <si>
    <t>Verkeersruimte/garderobe/reprografie - zachte vloeren</t>
  </si>
  <si>
    <t>XB</t>
  </si>
  <si>
    <t>Periodiek vloeren beschermd</t>
  </si>
  <si>
    <t>Z001</t>
  </si>
  <si>
    <t>extra</t>
  </si>
  <si>
    <t>Tafels afnemen</t>
  </si>
  <si>
    <t>Z002</t>
  </si>
  <si>
    <t>Vloer stofzuigen/reinigen</t>
  </si>
  <si>
    <t>Z004</t>
  </si>
  <si>
    <t>Wasruimte deel prraktijklokaal</t>
  </si>
  <si>
    <t>Z005</t>
  </si>
  <si>
    <t>Harde vloeren reinigen</t>
  </si>
  <si>
    <t>Z006</t>
  </si>
  <si>
    <t>Harde vloeren schrobben/droog maken</t>
  </si>
  <si>
    <t>Z008</t>
  </si>
  <si>
    <t>Wasruimte keukenblok deel praktijkruimte</t>
  </si>
  <si>
    <t xml:space="preserve">Totaal werkdag             </t>
  </si>
  <si>
    <t xml:space="preserve">Gemiddeld uurtarief werkdag             </t>
  </si>
  <si>
    <t>Totaal regulier werk excl. BTW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</si>
  <si>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</si>
  <si>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</si>
  <si>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</si>
  <si>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</si>
  <si>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</si>
  <si>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</si>
  <si>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</si>
  <si>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KML2</t>
  </si>
  <si>
    <t xml:space="preserve">    NV59</t>
  </si>
  <si>
    <t xml:space="preserve">    NV61</t>
  </si>
  <si>
    <t xml:space="preserve">   DEU13</t>
  </si>
  <si>
    <t xml:space="preserve">   GHS79</t>
  </si>
  <si>
    <t>werkdag</t>
  </si>
  <si>
    <t>OBJECT</t>
  </si>
  <si>
    <t>NAAM</t>
  </si>
  <si>
    <t>ADRES</t>
  </si>
  <si>
    <t>PLAATS</t>
  </si>
  <si>
    <t>BASIS UURTARIEF</t>
  </si>
  <si>
    <t>UREN/ UITVOERING</t>
  </si>
  <si>
    <t>UREN SUPPLETIE/ UITVOERING</t>
  </si>
  <si>
    <t>UREN TOTAAL/ DAG</t>
  </si>
  <si>
    <t>PRIJS SUPPLETIE/ DAG</t>
  </si>
  <si>
    <t>PRIJS TOTAAL/ DAG</t>
  </si>
  <si>
    <t>PRIJS/ JAAR (EURO)</t>
  </si>
  <si>
    <t>PRIJS/ MAAND (EURO)</t>
  </si>
  <si>
    <t>KML2</t>
  </si>
  <si>
    <t>Keizerin Marialaan</t>
  </si>
  <si>
    <t>Keizerin Marialaan 2</t>
  </si>
  <si>
    <t>Helmond</t>
  </si>
  <si>
    <t>NV59</t>
  </si>
  <si>
    <t>Nieuwveld</t>
  </si>
  <si>
    <t>Nieuwveld 59</t>
  </si>
  <si>
    <t>NV61</t>
  </si>
  <si>
    <t>Nieuwveld 61</t>
  </si>
  <si>
    <t>DEU13</t>
  </si>
  <si>
    <t>Indumastraat</t>
  </si>
  <si>
    <t>Indumastraat 13</t>
  </si>
  <si>
    <t>Deurne</t>
  </si>
  <si>
    <t>GHS79</t>
  </si>
  <si>
    <t>Gasthuisstraat</t>
  </si>
  <si>
    <t>Gasthuisstraat 79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</si>
  <si>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</si>
  <si>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</si>
  <si>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</si>
  <si>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</si>
  <si>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</si>
  <si>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</si>
  <si>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</si>
  <si>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</si>
  <si>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</si>
  <si>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</si>
  <si>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</si>
  <si>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KML2 - Keizerin Marialaan, Keizerin Marialaan 2, Helmond</t>
  </si>
  <si>
    <t>1000</t>
  </si>
  <si>
    <t>Niet meewerkende objectleiding</t>
  </si>
  <si>
    <t>&lt;invullen functie afh. van uren uitvoering per jaar&gt;</t>
  </si>
  <si>
    <t>&lt;invullen functie met vaste uren per dag&gt;</t>
  </si>
  <si>
    <t>Totaal KML2 - Keizerin Marialaan, Keizerin Marialaan 2, Helmond</t>
  </si>
  <si>
    <t>NV59 - Nieuwveld, Nieuwveld 59, Helmond</t>
  </si>
  <si>
    <t>Totaal NV59 - Nieuwveld, Nieuwveld 59, Helmond</t>
  </si>
  <si>
    <t>NV61 - Nieuwveld, Nieuwveld 61, Helmond</t>
  </si>
  <si>
    <t>Totaal NV61 - Nieuwveld, Nieuwveld 61, Helmond</t>
  </si>
  <si>
    <t>DEU13 - Indumastraat, Indumastraat 13, Deurne</t>
  </si>
  <si>
    <t>Totaal DEU13 - Indumastraat, Indumastraat 13, Deurne</t>
  </si>
  <si>
    <t>GHS79 - Gasthuisstraat, Gasthuisstraat 79, Helmond</t>
  </si>
  <si>
    <t>Totaal GHS79 - Gasthuisstraat, Gasthuisstraat 79, Helmond</t>
  </si>
  <si>
    <t xml:space="preserve">WERKDAG VAKANTIE    </t>
  </si>
  <si>
    <t>V1000</t>
  </si>
  <si>
    <t xml:space="preserve">Totaal werkdag vakantie    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</si>
  <si>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</si>
  <si>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</si>
  <si>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</si>
  <si>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</si>
  <si>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</si>
  <si>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</si>
  <si>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</si>
  <si>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</si>
  <si>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</si>
  <si>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</si>
  <si>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</si>
  <si>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</si>
  <si>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</si>
  <si>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</si>
  <si>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</si>
  <si>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</si>
  <si>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9000</t>
  </si>
  <si>
    <t>Medewerker regiewerkzaamheden</t>
  </si>
  <si>
    <t>prijs per uur</t>
  </si>
  <si>
    <t>9050</t>
  </si>
  <si>
    <t>Medewerker regiewerkzaamheden weekend</t>
  </si>
  <si>
    <t>9100</t>
  </si>
  <si>
    <t>Medewerker specialistische werkzaamheden</t>
  </si>
  <si>
    <t>9200</t>
  </si>
  <si>
    <t>Handyman</t>
  </si>
  <si>
    <t>Tapijt reinigen sproei/extractie methode</t>
  </si>
  <si>
    <t>prijs per m²</t>
  </si>
  <si>
    <t>Totaal afroep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</si>
  <si>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</si>
  <si>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</si>
  <si>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</si>
  <si>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</si>
  <si>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</si>
  <si>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</si>
  <si>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</si>
  <si>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</si>
  <si>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</si>
  <si>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</si>
  <si>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</si>
  <si>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</si>
  <si>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</si>
  <si>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</si>
  <si>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</si>
  <si>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</si>
  <si>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</si>
  <si>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</si>
  <si>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</si>
  <si>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</si>
  <si>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</si>
  <si>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</si>
  <si>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</si>
  <si>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</si>
  <si>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</si>
  <si>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</si>
  <si>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</si>
  <si>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</si>
  <si>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</si>
  <si>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</si>
  <si>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</si>
  <si>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</si>
  <si>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</si>
  <si>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</si>
  <si>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</si>
  <si>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</si>
  <si>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</si>
  <si>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</si>
  <si>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</si>
  <si>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</si>
  <si>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</si>
  <si>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</si>
  <si>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</si>
  <si>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</si>
  <si>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</si>
  <si>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</si>
  <si>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</si>
  <si>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</si>
  <si>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</si>
  <si>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</si>
  <si>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</si>
  <si>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</si>
  <si>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</si>
  <si>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</si>
  <si>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</si>
  <si>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</si>
  <si>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</si>
  <si>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</si>
  <si>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</si>
  <si>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</si>
  <si>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</si>
  <si>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</si>
  <si>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/>
  </si>
  <si>
    <t>3040</t>
  </si>
  <si>
    <t>Graffiti verwijderen spec.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</si>
  <si>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</si>
  <si>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</si>
  <si>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</si>
  <si>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</si>
  <si>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</si>
  <si>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</si>
  <si>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</si>
  <si>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</si>
  <si>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</si>
  <si>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</si>
  <si>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</si>
  <si>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</si>
  <si>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</si>
  <si>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</si>
  <si>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</si>
  <si>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</si>
  <si>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</si>
  <si>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</si>
  <si>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</si>
  <si>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</si>
  <si>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</si>
  <si>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</si>
  <si>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</si>
  <si>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</si>
  <si>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</si>
  <si>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</si>
  <si>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</si>
  <si>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</si>
  <si>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</si>
  <si>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</si>
  <si>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</si>
  <si>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</si>
  <si>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</si>
  <si>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</si>
  <si>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</si>
  <si>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</si>
  <si>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</si>
  <si>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</si>
  <si>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</si>
  <si>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</si>
  <si>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</si>
  <si>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</si>
  <si>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</si>
  <si>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</si>
  <si>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</si>
  <si>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</si>
  <si>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</si>
  <si>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</si>
  <si>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Totaal afroep incidenteel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</si>
  <si>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</si>
  <si>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</si>
  <si>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</si>
  <si>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</si>
  <si>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</si>
  <si>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</si>
  <si>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Totaal glas excl. BTW</t>
  </si>
  <si>
    <t>Soort werk</t>
  </si>
  <si>
    <t>Uren per jaar uitvoering</t>
  </si>
  <si>
    <t>Uren per jaar leiding</t>
  </si>
  <si>
    <t>Bedrag per jaar excl. BTW (euro)</t>
  </si>
  <si>
    <t>Bedrag per jaar incl. BTW (euro)</t>
  </si>
  <si>
    <t>Regulier werk</t>
  </si>
  <si>
    <t>Objectleiding</t>
  </si>
  <si>
    <t>Afroepwerk (geschatte frequenties)</t>
  </si>
  <si>
    <t>Glas (geschat)</t>
  </si>
  <si>
    <t>Totaal generaal</t>
  </si>
  <si>
    <t>Percentage objectleiding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</si>
</sst>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64" fontId="0" fillId="2" borderId="15" xfId="0" applyNumberFormat="1" applyFill="1" applyBorder="1"/>
    <xf numFmtId="165" fontId="0" fillId="0" borderId="15" xfId="0" applyNumberFormat="1" applyBorder="1" applyProtection="1">
      <protection locked="0"/>
    </xf>
    <xf numFmtId="4" fontId="0" fillId="2" borderId="16" xfId="0" applyNumberFormat="1" applyFill="1" applyBorder="1"/>
    <xf numFmtId="165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8" xfId="0" applyFill="1" applyBorder="1"/>
    <xf numFmtId="49" fontId="0" fillId="3" borderId="3" xfId="0" applyNumberFormat="1" applyFill="1" applyBorder="1"/>
    <xf numFmtId="0" fontId="0" fillId="3" borderId="19" xfId="0" applyFill="1" applyBorder="1"/>
    <xf numFmtId="49" fontId="0" fillId="3" borderId="19" xfId="0" applyNumberFormat="1" applyFill="1" applyBorder="1"/>
    <xf numFmtId="0" fontId="0" fillId="3" borderId="6" xfId="0" applyFill="1" applyBorder="1"/>
    <xf numFmtId="49" fontId="0" fillId="4" borderId="14" xfId="0" applyNumberForma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4" fontId="0" fillId="0" borderId="14" xfId="0" applyNumberFormat="1" applyBorder="1"/>
    <xf numFmtId="49" fontId="0" fillId="4" borderId="15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4" fontId="0" fillId="0" borderId="15" xfId="0" applyNumberFormat="1" applyBorder="1"/>
    <xf numFmtId="49" fontId="0" fillId="4" borderId="16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4" fontId="0" fillId="0" borderId="16" xfId="0" applyNumberFormat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4" fontId="0" fillId="3" borderId="14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4" fontId="0" fillId="3" borderId="15" xfId="0" applyNumberFormat="1" applyFill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164" fontId="0" fillId="3" borderId="12" xfId="0" applyNumberFormat="1" applyFill="1" applyBorder="1"/>
    <xf numFmtId="0" fontId="0" fillId="3" borderId="12" xfId="0" applyFill="1" applyBorder="1"/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4" fontId="0" fillId="3" borderId="16" xfId="0" applyNumberFormat="1" applyFill="1" applyBorder="1"/>
    <xf numFmtId="10" fontId="0" fillId="3" borderId="6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276E-F4C2-4588-85EC-929F8E251193}">
  <dimension ref="A1:B31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260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0.8</v>
      </c>
    </row>
    <row r="15" spans="1:2" x14ac:dyDescent="0.2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0.76923076923076927</v>
      </c>
    </row>
    <row r="16" spans="1:2" x14ac:dyDescent="0.2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0.61538461538461542</v>
      </c>
    </row>
    <row r="17" spans="1:2" x14ac:dyDescent="0.2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0.6</v>
      </c>
    </row>
    <row r="18" spans="1:2" x14ac:dyDescent="0.2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0.46153846153846156</v>
      </c>
    </row>
    <row r="19" spans="1:2" x14ac:dyDescent="0.2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0.4</v>
      </c>
    </row>
    <row r="20" spans="1:2" x14ac:dyDescent="0.2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0.38461538461538464</v>
      </c>
    </row>
    <row r="21" spans="1:2" x14ac:dyDescent="0.2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0.30769230769230771</v>
      </c>
    </row>
    <row r="22" spans="1:2" x14ac:dyDescent="0.2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0.2</v>
      </c>
    </row>
    <row r="23" spans="1:2" x14ac:dyDescent="0.2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0.15384615384615385</v>
      </c>
    </row>
    <row r="24" spans="1:2" x14ac:dyDescent="0.2">
      <c r="A24" s="2" t="s">
        <v>20</v>
      </c>
      <c r="B24" s="3">
        <f>IF(A24="2½W",2.5/dagenperweek1,IF(RIGHT(A24,1)="W",VALUE(LEFT(A24,LEN(A24)-1))/dagenperweek1,IF(RIGHT(A24,1)="J",VALUE(LEFT(A24,LEN(A24)-1))/dagenperjaar1,"handmatig!")))</f>
        <v>0.1</v>
      </c>
    </row>
    <row r="25" spans="1:2" x14ac:dyDescent="0.2">
      <c r="A25" s="2" t="s">
        <v>21</v>
      </c>
      <c r="B25" s="3">
        <f>IF(A25="2½W",2.5/dagenperweek1,IF(RIGHT(A25,1)="W",VALUE(LEFT(A25,LEN(A25)-1))/dagenperweek1,IF(RIGHT(A25,1)="J",VALUE(LEFT(A25,LEN(A25)-1))/dagenperjaar1,"handmatig!")))</f>
        <v>4.6153846153846156E-2</v>
      </c>
    </row>
    <row r="26" spans="1:2" x14ac:dyDescent="0.2">
      <c r="A26" s="2" t="s">
        <v>22</v>
      </c>
      <c r="B26" s="3">
        <f>IF(A26="2½W",2.5/dagenperweek1,IF(RIGHT(A26,1)="W",VALUE(LEFT(A26,LEN(A26)-1))/dagenperweek1,IF(RIGHT(A26,1)="J",VALUE(LEFT(A26,LEN(A26)-1))/dagenperjaar1,"handmatig!")))</f>
        <v>3.8461538461538464E-2</v>
      </c>
    </row>
    <row r="27" spans="1:2" x14ac:dyDescent="0.2">
      <c r="A27" s="2" t="s">
        <v>23</v>
      </c>
      <c r="B27" s="3">
        <f>IF(A27="2½W",2.5/dagenperweek1,IF(RIGHT(A27,1)="W",VALUE(LEFT(A27,LEN(A27)-1))/dagenperweek1,IF(RIGHT(A27,1)="J",VALUE(LEFT(A27,LEN(A27)-1))/dagenperjaar1,"handmatig!")))</f>
        <v>2.3076923076923078E-2</v>
      </c>
    </row>
    <row r="28" spans="1:2" x14ac:dyDescent="0.2">
      <c r="A28" s="2" t="s">
        <v>24</v>
      </c>
      <c r="B28" s="3">
        <f>IF(A28="2½W",2.5/dagenperweek1,IF(RIGHT(A28,1)="W",VALUE(LEFT(A28,LEN(A28)-1))/dagenperweek1,IF(RIGHT(A28,1)="J",VALUE(LEFT(A28,LEN(A28)-1))/dagenperjaar1,"handmatig!")))</f>
        <v>1.5384615384615385E-2</v>
      </c>
    </row>
    <row r="29" spans="1:2" x14ac:dyDescent="0.2">
      <c r="A29" s="2" t="s">
        <v>25</v>
      </c>
      <c r="B29" s="3">
        <f>IF(A29="2½W",2.5/dagenperweek1,IF(RIGHT(A29,1)="W",VALUE(LEFT(A29,LEN(A29)-1))/dagenperweek1,IF(RIGHT(A29,1)="J",VALUE(LEFT(A29,LEN(A29)-1))/dagenperjaar1,"handmatig!")))</f>
        <v>1.1538461538461539E-2</v>
      </c>
    </row>
    <row r="30" spans="1:2" x14ac:dyDescent="0.2">
      <c r="A30" s="2" t="s">
        <v>26</v>
      </c>
      <c r="B30" s="3">
        <f>IF(A30="2½W",2.5/dagenperweek1,IF(RIGHT(A30,1)="W",VALUE(LEFT(A30,LEN(A30)-1))/dagenperweek1,IF(RIGHT(A30,1)="J",VALUE(LEFT(A30,LEN(A30)-1))/dagenperjaar1,"handmatig!")))</f>
        <v>7.6923076923076927E-3</v>
      </c>
    </row>
    <row r="31" spans="1:2" x14ac:dyDescent="0.2">
      <c r="A31" s="6" t="s">
        <v>27</v>
      </c>
      <c r="B31" s="7">
        <f>IF(A31="2½W",2.5/dagenperweek1,IF(RIGHT(A31,1)="W",VALUE(LEFT(A31,LEN(A31)-1))/dagenperweek1,IF(RIGHT(A31,1)="J",VALUE(LEFT(A31,LEN(A31)-1))/dagenperjaar1,"handmatig!")))</f>
        <v>3.8461538461538464E-3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C21B-6FBF-4B5A-B047-42884F850728}">
  <dimension ref="A1:L11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H.8: ",tabeltype," glas")</f>
        <v>Bijlage H.8: Invultabel glas</v>
      </c>
    </row>
    <row r="3" spans="1:12" ht="38.25" x14ac:dyDescent="0.2">
      <c r="A3" s="8" t="s">
        <v>268</v>
      </c>
      <c r="B3" s="8" t="s">
        <v>7</v>
      </c>
      <c r="C3" s="8" t="s">
        <v>269</v>
      </c>
      <c r="D3" s="8" t="s">
        <v>31</v>
      </c>
      <c r="E3" s="8" t="s">
        <v>34</v>
      </c>
      <c r="F3" s="8" t="s">
        <v>270</v>
      </c>
      <c r="G3" s="8" t="s">
        <v>271</v>
      </c>
      <c r="H3" s="8" t="s">
        <v>272</v>
      </c>
      <c r="I3" s="8" t="s">
        <v>273</v>
      </c>
      <c r="J3" s="8" t="s">
        <v>274</v>
      </c>
      <c r="K3" s="8" t="s">
        <v>130</v>
      </c>
      <c r="L3" s="8" t="s">
        <v>214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401</v>
      </c>
      <c r="B6" s="15" t="s">
        <v>26</v>
      </c>
      <c r="C6" s="16">
        <f>IF(ISBLANK(B6),0,IF(ISERROR(VALUE(B6)),VLOOKUP(B6,dagsoorttabel1,2,FALSE)*dagenperjaar1,VALUE(B6)))</f>
        <v>2</v>
      </c>
      <c r="D6" s="15" t="s">
        <v>402</v>
      </c>
      <c r="E6" s="15" t="s">
        <v>285</v>
      </c>
      <c r="F6" s="73">
        <v>2500</v>
      </c>
      <c r="G6" s="19"/>
      <c r="H6" s="74"/>
      <c r="I6" s="19"/>
      <c r="J6" s="32">
        <f>IF(ISBLANK(F6),0,F6)*I6</f>
        <v>0</v>
      </c>
      <c r="K6" s="32">
        <f>C6*J6</f>
        <v>0</v>
      </c>
      <c r="L6" s="32">
        <f>K6/12</f>
        <v>0</v>
      </c>
    </row>
    <row r="7" spans="1:12" x14ac:dyDescent="0.2">
      <c r="A7" s="20" t="s">
        <v>403</v>
      </c>
      <c r="B7" s="20" t="s">
        <v>26</v>
      </c>
      <c r="C7" s="21">
        <f>IF(ISBLANK(B7),0,IF(ISERROR(VALUE(B7)),VLOOKUP(B7,dagsoorttabel1,2,FALSE)*dagenperjaar1,VALUE(B7)))</f>
        <v>2</v>
      </c>
      <c r="D7" s="20" t="s">
        <v>404</v>
      </c>
      <c r="E7" s="20" t="s">
        <v>285</v>
      </c>
      <c r="F7" s="75">
        <v>2500</v>
      </c>
      <c r="G7" s="24"/>
      <c r="H7" s="76"/>
      <c r="I7" s="24"/>
      <c r="J7" s="35">
        <f>IF(ISBLANK(F7),0,F7)*I7</f>
        <v>0</v>
      </c>
      <c r="K7" s="35">
        <f>C7*J7</f>
        <v>0</v>
      </c>
      <c r="L7" s="35">
        <f>K7/12</f>
        <v>0</v>
      </c>
    </row>
    <row r="8" spans="1:12" x14ac:dyDescent="0.2">
      <c r="A8" s="25" t="s">
        <v>405</v>
      </c>
      <c r="B8" s="25" t="s">
        <v>26</v>
      </c>
      <c r="C8" s="26">
        <f>IF(ISBLANK(B8),0,IF(ISERROR(VALUE(B8)),VLOOKUP(B8,dagsoorttabel1,2,FALSE)*dagenperjaar1,VALUE(B8)))</f>
        <v>2</v>
      </c>
      <c r="D8" s="25" t="s">
        <v>406</v>
      </c>
      <c r="E8" s="25" t="s">
        <v>285</v>
      </c>
      <c r="F8" s="77">
        <v>1250</v>
      </c>
      <c r="G8" s="29"/>
      <c r="H8" s="78"/>
      <c r="I8" s="29"/>
      <c r="J8" s="39">
        <f>IF(ISBLANK(F8),0,F8)*I8</f>
        <v>0</v>
      </c>
      <c r="K8" s="39">
        <f>C8*J8</f>
        <v>0</v>
      </c>
      <c r="L8" s="39">
        <f>K8/12</f>
        <v>0</v>
      </c>
    </row>
    <row r="9" spans="1:12" x14ac:dyDescent="0.2">
      <c r="A9" s="40" t="s">
        <v>187</v>
      </c>
      <c r="B9" s="41"/>
      <c r="C9" s="41"/>
      <c r="D9" s="41"/>
      <c r="E9" s="41"/>
      <c r="F9" s="41"/>
      <c r="G9" s="41"/>
      <c r="H9" s="41"/>
      <c r="I9" s="41"/>
      <c r="J9" s="41"/>
      <c r="K9" s="43">
        <f>SUM(K6:K8)</f>
        <v>0</v>
      </c>
      <c r="L9" s="79">
        <f>K9/12</f>
        <v>0</v>
      </c>
    </row>
    <row r="11" spans="1:12" x14ac:dyDescent="0.2">
      <c r="A11" s="40" t="s">
        <v>407</v>
      </c>
      <c r="B11" s="41"/>
      <c r="C11" s="41"/>
      <c r="D11" s="41"/>
      <c r="E11" s="41"/>
      <c r="F11" s="41"/>
      <c r="G11" s="41"/>
      <c r="H11" s="41"/>
      <c r="I11" s="41"/>
      <c r="J11" s="41"/>
      <c r="K11" s="43">
        <f>prijsjaarglas1</f>
        <v>0</v>
      </c>
      <c r="L11" s="79">
        <f>K11/12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EC8E-3C66-46E5-8895-14E31F18349C}">
  <dimension ref="A1:E11"/>
  <sheetViews>
    <sheetView workbookViewId="0"/>
  </sheetViews>
  <sheetFormatPr defaultRowHeight="12.75" x14ac:dyDescent="0.2"/>
  <cols>
    <col min="1" max="1" width="30.625" customWidth="1"/>
    <col min="2" max="5" width="20.625" customWidth="1"/>
  </cols>
  <sheetData>
    <row r="1" spans="1:5" x14ac:dyDescent="0.2">
      <c r="A1" s="1" t="str">
        <f>CONCATENATE("Bijlage H.9: ",tabeltype," totaalblad schoonmaakwerk")</f>
        <v>Bijlage H.9: Invultabel totaalblad schoonmaakwerk</v>
      </c>
    </row>
    <row r="3" spans="1:5" ht="25.5" x14ac:dyDescent="0.2">
      <c r="A3" s="8" t="s">
        <v>408</v>
      </c>
      <c r="B3" s="8" t="s">
        <v>409</v>
      </c>
      <c r="C3" s="8" t="s">
        <v>410</v>
      </c>
      <c r="D3" s="8" t="s">
        <v>411</v>
      </c>
      <c r="E3" s="8" t="s">
        <v>412</v>
      </c>
    </row>
    <row r="4" spans="1:5" x14ac:dyDescent="0.2">
      <c r="A4" s="81" t="s">
        <v>413</v>
      </c>
      <c r="B4" s="30">
        <f>urenjaartotaaloverzicht</f>
        <v>0</v>
      </c>
      <c r="C4" s="64"/>
      <c r="D4" s="32">
        <f>prijsjaartotaaloverzicht</f>
        <v>0</v>
      </c>
      <c r="E4" s="32">
        <f>D4*1.21</f>
        <v>0</v>
      </c>
    </row>
    <row r="5" spans="1:5" x14ac:dyDescent="0.2">
      <c r="A5" s="82" t="s">
        <v>414</v>
      </c>
      <c r="B5" s="67"/>
      <c r="C5" s="33">
        <f>urenjaarnietmeewerkend</f>
        <v>0</v>
      </c>
      <c r="D5" s="35">
        <f>prijsjaarnietmeewerkend</f>
        <v>0</v>
      </c>
      <c r="E5" s="35">
        <f>D5*1.21</f>
        <v>0</v>
      </c>
    </row>
    <row r="6" spans="1:5" ht="25.5" x14ac:dyDescent="0.2">
      <c r="A6" s="82" t="s">
        <v>415</v>
      </c>
      <c r="B6" s="67"/>
      <c r="C6" s="67"/>
      <c r="D6" s="35">
        <f>prijsjaarafroep</f>
        <v>0</v>
      </c>
      <c r="E6" s="35">
        <f>D6*1.21</f>
        <v>0</v>
      </c>
    </row>
    <row r="7" spans="1:5" x14ac:dyDescent="0.2">
      <c r="A7" s="83" t="s">
        <v>416</v>
      </c>
      <c r="B7" s="84"/>
      <c r="C7" s="84"/>
      <c r="D7" s="39">
        <f>prijsjaarglas</f>
        <v>0</v>
      </c>
      <c r="E7" s="39">
        <f>D7*1.21</f>
        <v>0</v>
      </c>
    </row>
    <row r="9" spans="1:5" x14ac:dyDescent="0.2">
      <c r="A9" s="8" t="s">
        <v>417</v>
      </c>
      <c r="B9" s="42">
        <f>SUM(B4:B7)</f>
        <v>0</v>
      </c>
      <c r="C9" s="42">
        <f>SUM(C4:C7)</f>
        <v>0</v>
      </c>
      <c r="D9" s="43">
        <f>SUM(D4:D7)</f>
        <v>0</v>
      </c>
      <c r="E9" s="43">
        <f>D9*1.21</f>
        <v>0</v>
      </c>
    </row>
    <row r="11" spans="1:5" x14ac:dyDescent="0.2">
      <c r="A11" s="8" t="s">
        <v>418</v>
      </c>
      <c r="B11" s="85">
        <f>IF(B9&gt;0,C9/B9,0)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6515-EA6D-4996-93F9-65A85C1205C3}">
  <dimension ref="A1:H4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H.1: ",tabeltype," categorienormen")</f>
        <v>Bijlage H.1: Invultabel categorienormen</v>
      </c>
    </row>
    <row r="3" spans="1:8" ht="38.25" x14ac:dyDescent="0.2">
      <c r="A3" s="8" t="s">
        <v>28</v>
      </c>
      <c r="B3" s="8" t="s">
        <v>29</v>
      </c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8" t="s">
        <v>35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36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37</v>
      </c>
      <c r="B6" s="16" t="s">
        <v>38</v>
      </c>
      <c r="C6" s="15">
        <v>1</v>
      </c>
      <c r="D6" s="15" t="s">
        <v>39</v>
      </c>
      <c r="E6" s="17"/>
      <c r="F6" s="18"/>
      <c r="G6" s="15" t="s">
        <v>40</v>
      </c>
      <c r="H6" s="19"/>
    </row>
    <row r="7" spans="1:8" x14ac:dyDescent="0.2">
      <c r="A7" s="20" t="s">
        <v>41</v>
      </c>
      <c r="B7" s="21" t="s">
        <v>38</v>
      </c>
      <c r="C7" s="20">
        <v>40</v>
      </c>
      <c r="D7" s="20" t="s">
        <v>42</v>
      </c>
      <c r="E7" s="22"/>
      <c r="F7" s="23"/>
      <c r="G7" s="20" t="s">
        <v>40</v>
      </c>
      <c r="H7" s="24"/>
    </row>
    <row r="8" spans="1:8" x14ac:dyDescent="0.2">
      <c r="A8" s="20" t="s">
        <v>43</v>
      </c>
      <c r="B8" s="21" t="s">
        <v>38</v>
      </c>
      <c r="C8" s="20">
        <v>1</v>
      </c>
      <c r="D8" s="20" t="s">
        <v>44</v>
      </c>
      <c r="E8" s="22"/>
      <c r="F8" s="23"/>
      <c r="G8" s="20" t="s">
        <v>40</v>
      </c>
      <c r="H8" s="24"/>
    </row>
    <row r="9" spans="1:8" x14ac:dyDescent="0.2">
      <c r="A9" s="20" t="s">
        <v>45</v>
      </c>
      <c r="B9" s="21" t="s">
        <v>38</v>
      </c>
      <c r="C9" s="20">
        <v>40</v>
      </c>
      <c r="D9" s="20" t="s">
        <v>46</v>
      </c>
      <c r="E9" s="22"/>
      <c r="F9" s="23"/>
      <c r="G9" s="20" t="s">
        <v>40</v>
      </c>
      <c r="H9" s="24"/>
    </row>
    <row r="10" spans="1:8" x14ac:dyDescent="0.2">
      <c r="A10" s="20" t="s">
        <v>47</v>
      </c>
      <c r="B10" s="21" t="s">
        <v>38</v>
      </c>
      <c r="C10" s="20">
        <v>1</v>
      </c>
      <c r="D10" s="20" t="s">
        <v>48</v>
      </c>
      <c r="E10" s="22"/>
      <c r="F10" s="23"/>
      <c r="G10" s="20" t="s">
        <v>40</v>
      </c>
      <c r="H10" s="24"/>
    </row>
    <row r="11" spans="1:8" x14ac:dyDescent="0.2">
      <c r="A11" s="20" t="s">
        <v>49</v>
      </c>
      <c r="B11" s="21" t="s">
        <v>38</v>
      </c>
      <c r="C11" s="20">
        <v>40</v>
      </c>
      <c r="D11" s="20" t="s">
        <v>50</v>
      </c>
      <c r="E11" s="22"/>
      <c r="F11" s="23"/>
      <c r="G11" s="20" t="s">
        <v>40</v>
      </c>
      <c r="H11" s="24"/>
    </row>
    <row r="12" spans="1:8" x14ac:dyDescent="0.2">
      <c r="A12" s="20" t="s">
        <v>51</v>
      </c>
      <c r="B12" s="21" t="s">
        <v>38</v>
      </c>
      <c r="C12" s="20">
        <v>1</v>
      </c>
      <c r="D12" s="20" t="s">
        <v>52</v>
      </c>
      <c r="E12" s="22"/>
      <c r="F12" s="23"/>
      <c r="G12" s="20" t="s">
        <v>40</v>
      </c>
      <c r="H12" s="24"/>
    </row>
    <row r="13" spans="1:8" x14ac:dyDescent="0.2">
      <c r="A13" s="20" t="s">
        <v>53</v>
      </c>
      <c r="B13" s="21" t="s">
        <v>38</v>
      </c>
      <c r="C13" s="20">
        <v>40</v>
      </c>
      <c r="D13" s="20" t="s">
        <v>54</v>
      </c>
      <c r="E13" s="22"/>
      <c r="F13" s="23"/>
      <c r="G13" s="20" t="s">
        <v>40</v>
      </c>
      <c r="H13" s="24"/>
    </row>
    <row r="14" spans="1:8" x14ac:dyDescent="0.2">
      <c r="A14" s="20" t="s">
        <v>55</v>
      </c>
      <c r="B14" s="21" t="s">
        <v>56</v>
      </c>
      <c r="C14" s="20">
        <v>1</v>
      </c>
      <c r="D14" s="20" t="s">
        <v>57</v>
      </c>
      <c r="E14" s="22"/>
      <c r="F14" s="23"/>
      <c r="G14" s="20" t="s">
        <v>40</v>
      </c>
      <c r="H14" s="24"/>
    </row>
    <row r="15" spans="1:8" x14ac:dyDescent="0.2">
      <c r="A15" s="20" t="s">
        <v>58</v>
      </c>
      <c r="B15" s="21" t="s">
        <v>56</v>
      </c>
      <c r="C15" s="20">
        <v>40</v>
      </c>
      <c r="D15" s="20" t="s">
        <v>59</v>
      </c>
      <c r="E15" s="22"/>
      <c r="F15" s="23"/>
      <c r="G15" s="20" t="s">
        <v>40</v>
      </c>
      <c r="H15" s="24"/>
    </row>
    <row r="16" spans="1:8" x14ac:dyDescent="0.2">
      <c r="A16" s="20" t="s">
        <v>60</v>
      </c>
      <c r="B16" s="21" t="s">
        <v>56</v>
      </c>
      <c r="C16" s="20">
        <v>1</v>
      </c>
      <c r="D16" s="20" t="s">
        <v>61</v>
      </c>
      <c r="E16" s="22"/>
      <c r="F16" s="23"/>
      <c r="G16" s="20" t="s">
        <v>40</v>
      </c>
      <c r="H16" s="24"/>
    </row>
    <row r="17" spans="1:8" x14ac:dyDescent="0.2">
      <c r="A17" s="20" t="s">
        <v>62</v>
      </c>
      <c r="B17" s="21" t="s">
        <v>56</v>
      </c>
      <c r="C17" s="20">
        <v>40</v>
      </c>
      <c r="D17" s="20" t="s">
        <v>63</v>
      </c>
      <c r="E17" s="22"/>
      <c r="F17" s="23"/>
      <c r="G17" s="20" t="s">
        <v>40</v>
      </c>
      <c r="H17" s="24"/>
    </row>
    <row r="18" spans="1:8" x14ac:dyDescent="0.2">
      <c r="A18" s="20" t="s">
        <v>64</v>
      </c>
      <c r="B18" s="21" t="s">
        <v>65</v>
      </c>
      <c r="C18" s="20">
        <v>1</v>
      </c>
      <c r="D18" s="20" t="s">
        <v>66</v>
      </c>
      <c r="E18" s="22"/>
      <c r="F18" s="23"/>
      <c r="G18" s="20" t="s">
        <v>40</v>
      </c>
      <c r="H18" s="24"/>
    </row>
    <row r="19" spans="1:8" x14ac:dyDescent="0.2">
      <c r="A19" s="20" t="s">
        <v>67</v>
      </c>
      <c r="B19" s="21" t="s">
        <v>65</v>
      </c>
      <c r="C19" s="20">
        <v>40</v>
      </c>
      <c r="D19" s="20" t="s">
        <v>68</v>
      </c>
      <c r="E19" s="22"/>
      <c r="F19" s="23"/>
      <c r="G19" s="20" t="s">
        <v>40</v>
      </c>
      <c r="H19" s="24"/>
    </row>
    <row r="20" spans="1:8" x14ac:dyDescent="0.2">
      <c r="A20" s="20" t="s">
        <v>69</v>
      </c>
      <c r="B20" s="21" t="s">
        <v>70</v>
      </c>
      <c r="C20" s="20">
        <v>1</v>
      </c>
      <c r="D20" s="20" t="s">
        <v>71</v>
      </c>
      <c r="E20" s="22"/>
      <c r="F20" s="23"/>
      <c r="G20" s="20" t="s">
        <v>40</v>
      </c>
      <c r="H20" s="24"/>
    </row>
    <row r="21" spans="1:8" x14ac:dyDescent="0.2">
      <c r="A21" s="20" t="s">
        <v>72</v>
      </c>
      <c r="B21" s="21" t="s">
        <v>70</v>
      </c>
      <c r="C21" s="20">
        <v>40</v>
      </c>
      <c r="D21" s="20" t="s">
        <v>73</v>
      </c>
      <c r="E21" s="22"/>
      <c r="F21" s="23"/>
      <c r="G21" s="20" t="s">
        <v>40</v>
      </c>
      <c r="H21" s="24"/>
    </row>
    <row r="22" spans="1:8" x14ac:dyDescent="0.2">
      <c r="A22" s="20" t="s">
        <v>74</v>
      </c>
      <c r="B22" s="21" t="s">
        <v>75</v>
      </c>
      <c r="C22" s="20">
        <v>1</v>
      </c>
      <c r="D22" s="20" t="s">
        <v>76</v>
      </c>
      <c r="E22" s="22"/>
      <c r="F22" s="23"/>
      <c r="G22" s="20" t="s">
        <v>40</v>
      </c>
      <c r="H22" s="24"/>
    </row>
    <row r="23" spans="1:8" x14ac:dyDescent="0.2">
      <c r="A23" s="20" t="s">
        <v>77</v>
      </c>
      <c r="B23" s="21" t="s">
        <v>75</v>
      </c>
      <c r="C23" s="20">
        <v>40</v>
      </c>
      <c r="D23" s="20" t="s">
        <v>78</v>
      </c>
      <c r="E23" s="22"/>
      <c r="F23" s="23"/>
      <c r="G23" s="20" t="s">
        <v>40</v>
      </c>
      <c r="H23" s="24"/>
    </row>
    <row r="24" spans="1:8" x14ac:dyDescent="0.2">
      <c r="A24" s="20" t="s">
        <v>79</v>
      </c>
      <c r="B24" s="21" t="s">
        <v>75</v>
      </c>
      <c r="C24" s="20">
        <v>1</v>
      </c>
      <c r="D24" s="20" t="s">
        <v>80</v>
      </c>
      <c r="E24" s="22"/>
      <c r="F24" s="23"/>
      <c r="G24" s="20" t="s">
        <v>40</v>
      </c>
      <c r="H24" s="24"/>
    </row>
    <row r="25" spans="1:8" x14ac:dyDescent="0.2">
      <c r="A25" s="20" t="s">
        <v>81</v>
      </c>
      <c r="B25" s="21" t="s">
        <v>75</v>
      </c>
      <c r="C25" s="20">
        <v>40</v>
      </c>
      <c r="D25" s="20" t="s">
        <v>82</v>
      </c>
      <c r="E25" s="22"/>
      <c r="F25" s="23"/>
      <c r="G25" s="20" t="s">
        <v>40</v>
      </c>
      <c r="H25" s="24"/>
    </row>
    <row r="26" spans="1:8" x14ac:dyDescent="0.2">
      <c r="A26" s="20" t="s">
        <v>83</v>
      </c>
      <c r="B26" s="21" t="s">
        <v>84</v>
      </c>
      <c r="C26" s="20">
        <v>1</v>
      </c>
      <c r="D26" s="20" t="s">
        <v>85</v>
      </c>
      <c r="E26" s="22"/>
      <c r="F26" s="23"/>
      <c r="G26" s="20" t="s">
        <v>40</v>
      </c>
      <c r="H26" s="24"/>
    </row>
    <row r="27" spans="1:8" x14ac:dyDescent="0.2">
      <c r="A27" s="20" t="s">
        <v>86</v>
      </c>
      <c r="B27" s="21" t="s">
        <v>84</v>
      </c>
      <c r="C27" s="20">
        <v>40</v>
      </c>
      <c r="D27" s="20" t="s">
        <v>87</v>
      </c>
      <c r="E27" s="22"/>
      <c r="F27" s="23"/>
      <c r="G27" s="20" t="s">
        <v>40</v>
      </c>
      <c r="H27" s="24"/>
    </row>
    <row r="28" spans="1:8" x14ac:dyDescent="0.2">
      <c r="A28" s="20" t="s">
        <v>88</v>
      </c>
      <c r="B28" s="21" t="s">
        <v>84</v>
      </c>
      <c r="C28" s="20">
        <v>1</v>
      </c>
      <c r="D28" s="20" t="s">
        <v>89</v>
      </c>
      <c r="E28" s="22"/>
      <c r="F28" s="23"/>
      <c r="G28" s="20" t="s">
        <v>40</v>
      </c>
      <c r="H28" s="24"/>
    </row>
    <row r="29" spans="1:8" x14ac:dyDescent="0.2">
      <c r="A29" s="20" t="s">
        <v>90</v>
      </c>
      <c r="B29" s="21" t="s">
        <v>84</v>
      </c>
      <c r="C29" s="20">
        <v>40</v>
      </c>
      <c r="D29" s="20" t="s">
        <v>91</v>
      </c>
      <c r="E29" s="22"/>
      <c r="F29" s="23"/>
      <c r="G29" s="20" t="s">
        <v>40</v>
      </c>
      <c r="H29" s="24"/>
    </row>
    <row r="30" spans="1:8" x14ac:dyDescent="0.2">
      <c r="A30" s="20" t="s">
        <v>92</v>
      </c>
      <c r="B30" s="21" t="s">
        <v>84</v>
      </c>
      <c r="C30" s="20">
        <v>1</v>
      </c>
      <c r="D30" s="20" t="s">
        <v>93</v>
      </c>
      <c r="E30" s="22"/>
      <c r="F30" s="23"/>
      <c r="G30" s="20" t="s">
        <v>40</v>
      </c>
      <c r="H30" s="24"/>
    </row>
    <row r="31" spans="1:8" x14ac:dyDescent="0.2">
      <c r="A31" s="20" t="s">
        <v>94</v>
      </c>
      <c r="B31" s="21" t="s">
        <v>84</v>
      </c>
      <c r="C31" s="20">
        <v>40</v>
      </c>
      <c r="D31" s="20" t="s">
        <v>95</v>
      </c>
      <c r="E31" s="22"/>
      <c r="F31" s="23"/>
      <c r="G31" s="20" t="s">
        <v>40</v>
      </c>
      <c r="H31" s="24"/>
    </row>
    <row r="32" spans="1:8" x14ac:dyDescent="0.2">
      <c r="A32" s="20" t="s">
        <v>96</v>
      </c>
      <c r="B32" s="21" t="s">
        <v>84</v>
      </c>
      <c r="C32" s="20">
        <v>1</v>
      </c>
      <c r="D32" s="20" t="s">
        <v>97</v>
      </c>
      <c r="E32" s="22"/>
      <c r="F32" s="23"/>
      <c r="G32" s="20" t="s">
        <v>40</v>
      </c>
      <c r="H32" s="24"/>
    </row>
    <row r="33" spans="1:8" x14ac:dyDescent="0.2">
      <c r="A33" s="20" t="s">
        <v>98</v>
      </c>
      <c r="B33" s="21" t="s">
        <v>84</v>
      </c>
      <c r="C33" s="20">
        <v>40</v>
      </c>
      <c r="D33" s="20" t="s">
        <v>99</v>
      </c>
      <c r="E33" s="22"/>
      <c r="F33" s="23"/>
      <c r="G33" s="20" t="s">
        <v>40</v>
      </c>
      <c r="H33" s="24"/>
    </row>
    <row r="34" spans="1:8" x14ac:dyDescent="0.2">
      <c r="A34" s="20" t="s">
        <v>100</v>
      </c>
      <c r="B34" s="21" t="s">
        <v>84</v>
      </c>
      <c r="C34" s="20">
        <v>1</v>
      </c>
      <c r="D34" s="20" t="s">
        <v>101</v>
      </c>
      <c r="E34" s="22"/>
      <c r="F34" s="23"/>
      <c r="G34" s="20" t="s">
        <v>40</v>
      </c>
      <c r="H34" s="24"/>
    </row>
    <row r="35" spans="1:8" x14ac:dyDescent="0.2">
      <c r="A35" s="20" t="s">
        <v>102</v>
      </c>
      <c r="B35" s="21" t="s">
        <v>84</v>
      </c>
      <c r="C35" s="20">
        <v>12</v>
      </c>
      <c r="D35" s="20" t="s">
        <v>103</v>
      </c>
      <c r="E35" s="22"/>
      <c r="F35" s="23"/>
      <c r="G35" s="20" t="s">
        <v>40</v>
      </c>
      <c r="H35" s="24"/>
    </row>
    <row r="36" spans="1:8" x14ac:dyDescent="0.2">
      <c r="A36" s="20" t="s">
        <v>104</v>
      </c>
      <c r="B36" s="21" t="s">
        <v>84</v>
      </c>
      <c r="C36" s="20">
        <v>1</v>
      </c>
      <c r="D36" s="20" t="s">
        <v>105</v>
      </c>
      <c r="E36" s="22"/>
      <c r="F36" s="23"/>
      <c r="G36" s="20" t="s">
        <v>40</v>
      </c>
      <c r="H36" s="24"/>
    </row>
    <row r="37" spans="1:8" x14ac:dyDescent="0.2">
      <c r="A37" s="20" t="s">
        <v>106</v>
      </c>
      <c r="B37" s="21" t="s">
        <v>84</v>
      </c>
      <c r="C37" s="20">
        <v>40</v>
      </c>
      <c r="D37" s="20" t="s">
        <v>107</v>
      </c>
      <c r="E37" s="22"/>
      <c r="F37" s="23"/>
      <c r="G37" s="20" t="s">
        <v>40</v>
      </c>
      <c r="H37" s="24"/>
    </row>
    <row r="38" spans="1:8" x14ac:dyDescent="0.2">
      <c r="A38" s="20" t="s">
        <v>108</v>
      </c>
      <c r="B38" s="21" t="s">
        <v>84</v>
      </c>
      <c r="C38" s="20">
        <v>1</v>
      </c>
      <c r="D38" s="20" t="s">
        <v>109</v>
      </c>
      <c r="E38" s="22"/>
      <c r="F38" s="23"/>
      <c r="G38" s="20" t="s">
        <v>40</v>
      </c>
      <c r="H38" s="24"/>
    </row>
    <row r="39" spans="1:8" x14ac:dyDescent="0.2">
      <c r="A39" s="20" t="s">
        <v>110</v>
      </c>
      <c r="B39" s="21" t="s">
        <v>84</v>
      </c>
      <c r="C39" s="20">
        <v>40</v>
      </c>
      <c r="D39" s="20" t="s">
        <v>111</v>
      </c>
      <c r="E39" s="22"/>
      <c r="F39" s="23"/>
      <c r="G39" s="20" t="s">
        <v>40</v>
      </c>
      <c r="H39" s="24"/>
    </row>
    <row r="40" spans="1:8" x14ac:dyDescent="0.2">
      <c r="A40" s="20" t="s">
        <v>112</v>
      </c>
      <c r="B40" s="21" t="s">
        <v>84</v>
      </c>
      <c r="C40" s="20">
        <v>1</v>
      </c>
      <c r="D40" s="20" t="s">
        <v>113</v>
      </c>
      <c r="E40" s="22"/>
      <c r="F40" s="23"/>
      <c r="G40" s="20" t="s">
        <v>40</v>
      </c>
      <c r="H40" s="24"/>
    </row>
    <row r="41" spans="1:8" x14ac:dyDescent="0.2">
      <c r="A41" s="20" t="s">
        <v>114</v>
      </c>
      <c r="B41" s="21" t="s">
        <v>84</v>
      </c>
      <c r="C41" s="20">
        <v>5</v>
      </c>
      <c r="D41" s="20" t="s">
        <v>115</v>
      </c>
      <c r="E41" s="22"/>
      <c r="F41" s="23"/>
      <c r="G41" s="20" t="s">
        <v>40</v>
      </c>
      <c r="H41" s="24"/>
    </row>
    <row r="42" spans="1:8" x14ac:dyDescent="0.2">
      <c r="A42" s="20" t="s">
        <v>114</v>
      </c>
      <c r="B42" s="21" t="s">
        <v>84</v>
      </c>
      <c r="C42" s="20">
        <v>40</v>
      </c>
      <c r="D42" s="20" t="s">
        <v>115</v>
      </c>
      <c r="E42" s="22"/>
      <c r="F42" s="23"/>
      <c r="G42" s="20" t="s">
        <v>40</v>
      </c>
      <c r="H42" s="24"/>
    </row>
    <row r="43" spans="1:8" x14ac:dyDescent="0.2">
      <c r="A43" s="20" t="s">
        <v>116</v>
      </c>
      <c r="B43" s="21" t="s">
        <v>84</v>
      </c>
      <c r="C43" s="20">
        <v>1</v>
      </c>
      <c r="D43" s="20" t="s">
        <v>117</v>
      </c>
      <c r="E43" s="22"/>
      <c r="F43" s="23"/>
      <c r="G43" s="20" t="s">
        <v>40</v>
      </c>
      <c r="H43" s="24"/>
    </row>
    <row r="44" spans="1:8" x14ac:dyDescent="0.2">
      <c r="A44" s="20" t="s">
        <v>118</v>
      </c>
      <c r="B44" s="21" t="s">
        <v>84</v>
      </c>
      <c r="C44" s="20">
        <v>40</v>
      </c>
      <c r="D44" s="20" t="s">
        <v>119</v>
      </c>
      <c r="E44" s="22"/>
      <c r="F44" s="23"/>
      <c r="G44" s="20" t="s">
        <v>40</v>
      </c>
      <c r="H44" s="24"/>
    </row>
    <row r="45" spans="1:8" x14ac:dyDescent="0.2">
      <c r="A45" s="25" t="s">
        <v>120</v>
      </c>
      <c r="B45" s="26" t="s">
        <v>121</v>
      </c>
      <c r="C45" s="25">
        <v>1</v>
      </c>
      <c r="D45" s="25" t="s">
        <v>122</v>
      </c>
      <c r="E45" s="27"/>
      <c r="F45" s="28"/>
      <c r="G45" s="25" t="s">
        <v>40</v>
      </c>
      <c r="H45" s="29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0D6C-A2E4-429F-9C77-9F289AB2253A}">
  <dimension ref="A1:M47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7" width="11.625" customWidth="1"/>
    <col min="8" max="8" width="9.625" customWidth="1"/>
    <col min="9" max="11" width="11.625" customWidth="1"/>
    <col min="12" max="12" width="12.625" customWidth="1"/>
    <col min="13" max="13" width="14.625" customWidth="1"/>
  </cols>
  <sheetData>
    <row r="1" spans="1:13" x14ac:dyDescent="0.2">
      <c r="A1" s="1" t="str">
        <f>CONCATENATE("Bijlage H.2: ",tabeltype," regulier werk")</f>
        <v>Bijlage H.2: Invultabel regulier werk</v>
      </c>
    </row>
    <row r="3" spans="1:13" ht="38.25" x14ac:dyDescent="0.2">
      <c r="A3" s="8" t="s">
        <v>123</v>
      </c>
      <c r="B3" s="8" t="s">
        <v>7</v>
      </c>
      <c r="C3" s="8" t="s">
        <v>124</v>
      </c>
      <c r="D3" s="8" t="s">
        <v>31</v>
      </c>
      <c r="E3" s="8" t="s">
        <v>125</v>
      </c>
      <c r="F3" s="8" t="s">
        <v>126</v>
      </c>
      <c r="G3" s="8" t="s">
        <v>32</v>
      </c>
      <c r="H3" s="8" t="s">
        <v>34</v>
      </c>
      <c r="I3" s="8" t="s">
        <v>35</v>
      </c>
      <c r="J3" s="8" t="s">
        <v>127</v>
      </c>
      <c r="K3" s="8" t="s">
        <v>128</v>
      </c>
      <c r="L3" s="8" t="s">
        <v>129</v>
      </c>
      <c r="M3" s="8" t="s">
        <v>130</v>
      </c>
    </row>
    <row r="4" spans="1:13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13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2">
      <c r="A6" s="15" t="s">
        <v>131</v>
      </c>
      <c r="B6" s="15" t="s">
        <v>11</v>
      </c>
      <c r="C6" s="15" t="s">
        <v>132</v>
      </c>
      <c r="D6" s="15" t="s">
        <v>133</v>
      </c>
      <c r="E6" s="30">
        <v>1354.3</v>
      </c>
      <c r="F6" s="30">
        <f>E6*VLOOKUP(B6,dagsoorttabel1,2,FALSE)</f>
        <v>1041.7692307692307</v>
      </c>
      <c r="G6" s="31">
        <f>IF(AND(catpn_1_AHB_1&gt;0,catpn_1_AHV_40&gt;0),(dagenperjaar1*VLOOKUP(B6,dagsoorttabel1,2,FALSE))/(((dagenperjaar1*VLOOKUP(B6,dagsoorttabel1,2,FALSE))-catfd_1_AHV_40)/catpn_1_AHB_1+catfd_1_AHV_40/catpn_1_AHV_40),0)</f>
        <v>0</v>
      </c>
      <c r="H6" s="15" t="s">
        <v>40</v>
      </c>
      <c r="I6" s="32">
        <f>IF(AND(catpn_1_AHB_1&gt;0,catpn_1_AHV_40&gt;0),(cattf_1_AHB_1*((dagenperjaar1*VLOOKUP(B6,dagsoorttabel1,2,FALSE))-catfd_1_AHV_40)/catpn_1_AHB_1+cattf_1_AHV_40*catfd_1_AHV_40/catpn_1_AHV_40)/(((dagenperjaar1*VLOOKUP(B6,dagsoorttabel1,2,FALSE))-catfd_1_AHV_40)/catpn_1_AHB_1+catfd_1_AHV_40/catpn_1_AHV_40),0)</f>
        <v>0</v>
      </c>
      <c r="J6" s="30">
        <f>IF(OR(ISBLANK(G6),G6=0),0,F6/ROUND(G6,4))</f>
        <v>0</v>
      </c>
      <c r="K6" s="32">
        <f>ROUND(I6,2)*J6</f>
        <v>0</v>
      </c>
      <c r="L6" s="30">
        <f>J6*dagenperjaar1</f>
        <v>0</v>
      </c>
      <c r="M6" s="32">
        <f>L6*ROUND(I6,2)</f>
        <v>0</v>
      </c>
    </row>
    <row r="7" spans="1:13" x14ac:dyDescent="0.2">
      <c r="A7" s="20" t="s">
        <v>134</v>
      </c>
      <c r="B7" s="20" t="s">
        <v>16</v>
      </c>
      <c r="C7" s="20" t="s">
        <v>132</v>
      </c>
      <c r="D7" s="20" t="s">
        <v>135</v>
      </c>
      <c r="E7" s="33">
        <v>717.94</v>
      </c>
      <c r="F7" s="33">
        <f>E7*VLOOKUP(B7,dagsoorttabel1,2,FALSE)</f>
        <v>276.13076923076926</v>
      </c>
      <c r="G7" s="34">
        <f>IF(AND(catpn_1_BHB_1&gt;0,catpn_1_BHV_40&gt;0),(dagenperjaar1*VLOOKUP(B7,dagsoorttabel1,2,FALSE))/(((dagenperjaar1*VLOOKUP(B7,dagsoorttabel1,2,FALSE))-catfd_1_BHV_40)/catpn_1_BHB_1+catfd_1_BHV_40/catpn_1_BHV_40),0)</f>
        <v>0</v>
      </c>
      <c r="H7" s="20" t="s">
        <v>40</v>
      </c>
      <c r="I7" s="35">
        <f>IF(AND(catpn_1_BHB_1&gt;0,catpn_1_BHV_40&gt;0),(cattf_1_BHB_1*((dagenperjaar1*VLOOKUP(B7,dagsoorttabel1,2,FALSE))-catfd_1_BHV_40)/catpn_1_BHB_1+cattf_1_BHV_40*catfd_1_BHV_40/catpn_1_BHV_40)/(((dagenperjaar1*VLOOKUP(B7,dagsoorttabel1,2,FALSE))-catfd_1_BHV_40)/catpn_1_BHB_1+catfd_1_BHV_40/catpn_1_BHV_40),0)</f>
        <v>0</v>
      </c>
      <c r="J7" s="33">
        <f>IF(OR(ISBLANK(G7),G7=0),0,F7/ROUND(G7,4))</f>
        <v>0</v>
      </c>
      <c r="K7" s="35">
        <f>ROUND(I7,2)*J7</f>
        <v>0</v>
      </c>
      <c r="L7" s="33">
        <f>J7*dagenperjaar1</f>
        <v>0</v>
      </c>
      <c r="M7" s="35">
        <f>L7*ROUND(I7,2)</f>
        <v>0</v>
      </c>
    </row>
    <row r="8" spans="1:13" x14ac:dyDescent="0.2">
      <c r="A8" s="20" t="s">
        <v>134</v>
      </c>
      <c r="B8" s="20" t="s">
        <v>17</v>
      </c>
      <c r="C8" s="20" t="s">
        <v>132</v>
      </c>
      <c r="D8" s="20" t="s">
        <v>135</v>
      </c>
      <c r="E8" s="33">
        <v>68.099999999999994</v>
      </c>
      <c r="F8" s="33">
        <f>E8*VLOOKUP(B8,dagsoorttabel1,2,FALSE)</f>
        <v>20.953846153846154</v>
      </c>
      <c r="G8" s="34">
        <f>IF(AND(catpn_1_BHB_1&gt;0,catpn_1_BHV_40&gt;0),(dagenperjaar1*VLOOKUP(B8,dagsoorttabel1,2,FALSE))/(((dagenperjaar1*VLOOKUP(B8,dagsoorttabel1,2,FALSE))-catfd_1_BHV_40)/catpn_1_BHB_1+catfd_1_BHV_40/catpn_1_BHV_40),0)</f>
        <v>0</v>
      </c>
      <c r="H8" s="20" t="s">
        <v>40</v>
      </c>
      <c r="I8" s="35">
        <f>IF(AND(catpn_1_BHB_1&gt;0,catpn_1_BHV_40&gt;0),(cattf_1_BHB_1*((dagenperjaar1*VLOOKUP(B8,dagsoorttabel1,2,FALSE))-catfd_1_BHV_40)/catpn_1_BHB_1+cattf_1_BHV_40*catfd_1_BHV_40/catpn_1_BHV_40)/(((dagenperjaar1*VLOOKUP(B8,dagsoorttabel1,2,FALSE))-catfd_1_BHV_40)/catpn_1_BHB_1+catfd_1_BHV_40/catpn_1_BHV_40),0)</f>
        <v>0</v>
      </c>
      <c r="J8" s="33">
        <f>IF(OR(ISBLANK(G8),G8=0),0,F8/ROUND(G8,4))</f>
        <v>0</v>
      </c>
      <c r="K8" s="35">
        <f>ROUND(I8,2)*J8</f>
        <v>0</v>
      </c>
      <c r="L8" s="33">
        <f>J8*dagenperjaar1</f>
        <v>0</v>
      </c>
      <c r="M8" s="35">
        <f>L8*ROUND(I8,2)</f>
        <v>0</v>
      </c>
    </row>
    <row r="9" spans="1:13" x14ac:dyDescent="0.2">
      <c r="A9" s="20" t="s">
        <v>136</v>
      </c>
      <c r="B9" s="20" t="s">
        <v>16</v>
      </c>
      <c r="C9" s="20" t="s">
        <v>132</v>
      </c>
      <c r="D9" s="20" t="s">
        <v>137</v>
      </c>
      <c r="E9" s="33">
        <v>2183.66</v>
      </c>
      <c r="F9" s="33">
        <f>E9*VLOOKUP(B9,dagsoorttabel1,2,FALSE)</f>
        <v>839.86923076923074</v>
      </c>
      <c r="G9" s="34">
        <f>IF(AND(catpn_1_BZB_1&gt;0,catpn_1_BZV_40&gt;0),(dagenperjaar1*VLOOKUP(B9,dagsoorttabel1,2,FALSE))/(((dagenperjaar1*VLOOKUP(B9,dagsoorttabel1,2,FALSE))-catfd_1_BZV_40)/catpn_1_BZB_1+catfd_1_BZV_40/catpn_1_BZV_40),0)</f>
        <v>0</v>
      </c>
      <c r="H9" s="20" t="s">
        <v>40</v>
      </c>
      <c r="I9" s="35">
        <f>IF(AND(catpn_1_BZB_1&gt;0,catpn_1_BZV_40&gt;0),(cattf_1_BZB_1*((dagenperjaar1*VLOOKUP(B9,dagsoorttabel1,2,FALSE))-catfd_1_BZV_40)/catpn_1_BZB_1+cattf_1_BZV_40*catfd_1_BZV_40/catpn_1_BZV_40)/(((dagenperjaar1*VLOOKUP(B9,dagsoorttabel1,2,FALSE))-catfd_1_BZV_40)/catpn_1_BZB_1+catfd_1_BZV_40/catpn_1_BZV_40),0)</f>
        <v>0</v>
      </c>
      <c r="J9" s="33">
        <f>IF(OR(ISBLANK(G9),G9=0),0,F9/ROUND(G9,4))</f>
        <v>0</v>
      </c>
      <c r="K9" s="35">
        <f>ROUND(I9,2)*J9</f>
        <v>0</v>
      </c>
      <c r="L9" s="33">
        <f>J9*dagenperjaar1</f>
        <v>0</v>
      </c>
      <c r="M9" s="35">
        <f>L9*ROUND(I9,2)</f>
        <v>0</v>
      </c>
    </row>
    <row r="10" spans="1:13" x14ac:dyDescent="0.2">
      <c r="A10" s="20" t="s">
        <v>138</v>
      </c>
      <c r="B10" s="20" t="s">
        <v>11</v>
      </c>
      <c r="C10" s="20" t="s">
        <v>132</v>
      </c>
      <c r="D10" s="20" t="s">
        <v>139</v>
      </c>
      <c r="E10" s="33">
        <v>42.5</v>
      </c>
      <c r="F10" s="33">
        <f>E10*VLOOKUP(B10,dagsoorttabel1,2,FALSE)</f>
        <v>32.692307692307693</v>
      </c>
      <c r="G10" s="34">
        <f>IF(AND(catpn_1_DHB_1&gt;0,catpn_1_DHV_40&gt;0),(dagenperjaar1*VLOOKUP(B10,dagsoorttabel1,2,FALSE))/(((dagenperjaar1*VLOOKUP(B10,dagsoorttabel1,2,FALSE))-catfd_1_DHV_40)/catpn_1_DHB_1+catfd_1_DHV_40/catpn_1_DHV_40),0)</f>
        <v>0</v>
      </c>
      <c r="H10" s="20" t="s">
        <v>40</v>
      </c>
      <c r="I10" s="35">
        <f>IF(AND(catpn_1_DHB_1&gt;0,catpn_1_DHV_40&gt;0),(cattf_1_DHB_1*((dagenperjaar1*VLOOKUP(B10,dagsoorttabel1,2,FALSE))-catfd_1_DHV_40)/catpn_1_DHB_1+cattf_1_DHV_40*catfd_1_DHV_40/catpn_1_DHV_40)/(((dagenperjaar1*VLOOKUP(B10,dagsoorttabel1,2,FALSE))-catfd_1_DHV_40)/catpn_1_DHB_1+catfd_1_DHV_40/catpn_1_DHV_40),0)</f>
        <v>0</v>
      </c>
      <c r="J10" s="33">
        <f>IF(OR(ISBLANK(G10),G10=0),0,F10/ROUND(G10,4))</f>
        <v>0</v>
      </c>
      <c r="K10" s="35">
        <f>ROUND(I10,2)*J10</f>
        <v>0</v>
      </c>
      <c r="L10" s="33">
        <f>J10*dagenperjaar1</f>
        <v>0</v>
      </c>
      <c r="M10" s="35">
        <f>L10*ROUND(I10,2)</f>
        <v>0</v>
      </c>
    </row>
    <row r="11" spans="1:13" x14ac:dyDescent="0.2">
      <c r="A11" s="20" t="s">
        <v>140</v>
      </c>
      <c r="B11" s="20" t="s">
        <v>17</v>
      </c>
      <c r="C11" s="20" t="s">
        <v>132</v>
      </c>
      <c r="D11" s="20" t="s">
        <v>141</v>
      </c>
      <c r="E11" s="33">
        <v>2.5</v>
      </c>
      <c r="F11" s="33">
        <f>E11*VLOOKUP(B11,dagsoorttabel1,2,FALSE)</f>
        <v>0.76923076923076927</v>
      </c>
      <c r="G11" s="34">
        <f>IF(AND(catpn_1_EHB_1&gt;0,catpn_1_EHV_40&gt;0),(dagenperjaar1*VLOOKUP(B11,dagsoorttabel1,2,FALSE))/(((dagenperjaar1*VLOOKUP(B11,dagsoorttabel1,2,FALSE))-catfd_1_EHV_40)/catpn_1_EHB_1+catfd_1_EHV_40/catpn_1_EHV_40),0)</f>
        <v>0</v>
      </c>
      <c r="H11" s="20" t="s">
        <v>40</v>
      </c>
      <c r="I11" s="35">
        <f>IF(AND(catpn_1_EHB_1&gt;0,catpn_1_EHV_40&gt;0),(cattf_1_EHB_1*((dagenperjaar1*VLOOKUP(B11,dagsoorttabel1,2,FALSE))-catfd_1_EHV_40)/catpn_1_EHB_1+cattf_1_EHV_40*catfd_1_EHV_40/catpn_1_EHV_40)/(((dagenperjaar1*VLOOKUP(B11,dagsoorttabel1,2,FALSE))-catfd_1_EHV_40)/catpn_1_EHB_1+catfd_1_EHV_40/catpn_1_EHV_40),0)</f>
        <v>0</v>
      </c>
      <c r="J11" s="33">
        <f>IF(OR(ISBLANK(G11),G11=0),0,F11/ROUND(G11,4))</f>
        <v>0</v>
      </c>
      <c r="K11" s="35">
        <f>ROUND(I11,2)*J11</f>
        <v>0</v>
      </c>
      <c r="L11" s="33">
        <f>J11*dagenperjaar1</f>
        <v>0</v>
      </c>
      <c r="M11" s="35">
        <f>L11*ROUND(I11,2)</f>
        <v>0</v>
      </c>
    </row>
    <row r="12" spans="1:13" x14ac:dyDescent="0.2">
      <c r="A12" s="20" t="s">
        <v>142</v>
      </c>
      <c r="B12" s="20" t="s">
        <v>11</v>
      </c>
      <c r="C12" s="20" t="s">
        <v>132</v>
      </c>
      <c r="D12" s="20" t="s">
        <v>143</v>
      </c>
      <c r="E12" s="33">
        <v>76</v>
      </c>
      <c r="F12" s="33">
        <f>E12*VLOOKUP(B12,dagsoorttabel1,2,FALSE)</f>
        <v>58.461538461538467</v>
      </c>
      <c r="G12" s="34">
        <f>IF(AND(catpn_1_EZB_1&gt;0,catpn_1_EZV_40&gt;0),(dagenperjaar1*VLOOKUP(B12,dagsoorttabel1,2,FALSE))/(((dagenperjaar1*VLOOKUP(B12,dagsoorttabel1,2,FALSE))-catfd_1_EZV_40)/catpn_1_EZB_1+catfd_1_EZV_40/catpn_1_EZV_40),0)</f>
        <v>0</v>
      </c>
      <c r="H12" s="20" t="s">
        <v>40</v>
      </c>
      <c r="I12" s="35">
        <f>IF(AND(catpn_1_EZB_1&gt;0,catpn_1_EZV_40&gt;0),(cattf_1_EZB_1*((dagenperjaar1*VLOOKUP(B12,dagsoorttabel1,2,FALSE))-catfd_1_EZV_40)/catpn_1_EZB_1+cattf_1_EZV_40*catfd_1_EZV_40/catpn_1_EZV_40)/(((dagenperjaar1*VLOOKUP(B12,dagsoorttabel1,2,FALSE))-catfd_1_EZV_40)/catpn_1_EZB_1+catfd_1_EZV_40/catpn_1_EZV_40),0)</f>
        <v>0</v>
      </c>
      <c r="J12" s="33">
        <f>IF(OR(ISBLANK(G12),G12=0),0,F12/ROUND(G12,4))</f>
        <v>0</v>
      </c>
      <c r="K12" s="35">
        <f>ROUND(I12,2)*J12</f>
        <v>0</v>
      </c>
      <c r="L12" s="33">
        <f>J12*dagenperjaar1</f>
        <v>0</v>
      </c>
      <c r="M12" s="35">
        <f>L12*ROUND(I12,2)</f>
        <v>0</v>
      </c>
    </row>
    <row r="13" spans="1:13" x14ac:dyDescent="0.2">
      <c r="A13" s="20" t="s">
        <v>142</v>
      </c>
      <c r="B13" s="20" t="s">
        <v>17</v>
      </c>
      <c r="C13" s="20" t="s">
        <v>132</v>
      </c>
      <c r="D13" s="20" t="s">
        <v>143</v>
      </c>
      <c r="E13" s="33">
        <v>11.8</v>
      </c>
      <c r="F13" s="33">
        <f>E13*VLOOKUP(B13,dagsoorttabel1,2,FALSE)</f>
        <v>3.6307692307692312</v>
      </c>
      <c r="G13" s="34">
        <f>IF(AND(catpn_1_EZB_1&gt;0,catpn_1_EZV_40&gt;0),(dagenperjaar1*VLOOKUP(B13,dagsoorttabel1,2,FALSE))/(((dagenperjaar1*VLOOKUP(B13,dagsoorttabel1,2,FALSE))-catfd_1_EZV_40)/catpn_1_EZB_1+catfd_1_EZV_40/catpn_1_EZV_40),0)</f>
        <v>0</v>
      </c>
      <c r="H13" s="20" t="s">
        <v>40</v>
      </c>
      <c r="I13" s="35">
        <f>IF(AND(catpn_1_EZB_1&gt;0,catpn_1_EZV_40&gt;0),(cattf_1_EZB_1*((dagenperjaar1*VLOOKUP(B13,dagsoorttabel1,2,FALSE))-catfd_1_EZV_40)/catpn_1_EZB_1+cattf_1_EZV_40*catfd_1_EZV_40/catpn_1_EZV_40)/(((dagenperjaar1*VLOOKUP(B13,dagsoorttabel1,2,FALSE))-catfd_1_EZV_40)/catpn_1_EZB_1+catfd_1_EZV_40/catpn_1_EZV_40),0)</f>
        <v>0</v>
      </c>
      <c r="J13" s="33">
        <f>IF(OR(ISBLANK(G13),G13=0),0,F13/ROUND(G13,4))</f>
        <v>0</v>
      </c>
      <c r="K13" s="35">
        <f>ROUND(I13,2)*J13</f>
        <v>0</v>
      </c>
      <c r="L13" s="33">
        <f>J13*dagenperjaar1</f>
        <v>0</v>
      </c>
      <c r="M13" s="35">
        <f>L13*ROUND(I13,2)</f>
        <v>0</v>
      </c>
    </row>
    <row r="14" spans="1:13" x14ac:dyDescent="0.2">
      <c r="A14" s="20" t="s">
        <v>144</v>
      </c>
      <c r="B14" s="20" t="s">
        <v>11</v>
      </c>
      <c r="C14" s="20" t="s">
        <v>132</v>
      </c>
      <c r="D14" s="20" t="s">
        <v>145</v>
      </c>
      <c r="E14" s="33">
        <v>9</v>
      </c>
      <c r="F14" s="33">
        <f>E14*VLOOKUP(B14,dagsoorttabel1,2,FALSE)</f>
        <v>6.9230769230769234</v>
      </c>
      <c r="G14" s="34">
        <f>IF(AND(catpn_1_IHB_1&gt;0,catpn_1_IHV_40&gt;0),(dagenperjaar1*VLOOKUP(B14,dagsoorttabel1,2,FALSE))/(((dagenperjaar1*VLOOKUP(B14,dagsoorttabel1,2,FALSE))-catfd_1_IHV_40)/catpn_1_IHB_1+catfd_1_IHV_40/catpn_1_IHV_40),0)</f>
        <v>0</v>
      </c>
      <c r="H14" s="20" t="s">
        <v>40</v>
      </c>
      <c r="I14" s="35">
        <f>IF(AND(catpn_1_IHB_1&gt;0,catpn_1_IHV_40&gt;0),(cattf_1_IHB_1*((dagenperjaar1*VLOOKUP(B14,dagsoorttabel1,2,FALSE))-catfd_1_IHV_40)/catpn_1_IHB_1+cattf_1_IHV_40*catfd_1_IHV_40/catpn_1_IHV_40)/(((dagenperjaar1*VLOOKUP(B14,dagsoorttabel1,2,FALSE))-catfd_1_IHV_40)/catpn_1_IHB_1+catfd_1_IHV_40/catpn_1_IHV_40),0)</f>
        <v>0</v>
      </c>
      <c r="J14" s="33">
        <f>IF(OR(ISBLANK(G14),G14=0),0,F14/ROUND(G14,4))</f>
        <v>0</v>
      </c>
      <c r="K14" s="35">
        <f>ROUND(I14,2)*J14</f>
        <v>0</v>
      </c>
      <c r="L14" s="33">
        <f>J14*dagenperjaar1</f>
        <v>0</v>
      </c>
      <c r="M14" s="35">
        <f>L14*ROUND(I14,2)</f>
        <v>0</v>
      </c>
    </row>
    <row r="15" spans="1:13" x14ac:dyDescent="0.2">
      <c r="A15" s="20" t="s">
        <v>146</v>
      </c>
      <c r="B15" s="20" t="s">
        <v>11</v>
      </c>
      <c r="C15" s="20" t="s">
        <v>132</v>
      </c>
      <c r="D15" s="20" t="s">
        <v>147</v>
      </c>
      <c r="E15" s="33">
        <v>2427.88</v>
      </c>
      <c r="F15" s="33">
        <f>E15*VLOOKUP(B15,dagsoorttabel1,2,FALSE)</f>
        <v>1867.6000000000001</v>
      </c>
      <c r="G15" s="34">
        <f>IF(AND(catpn_1_LHB_1&gt;0,catpn_1_LHV_40&gt;0),(dagenperjaar1*VLOOKUP(B15,dagsoorttabel1,2,FALSE))/(((dagenperjaar1*VLOOKUP(B15,dagsoorttabel1,2,FALSE))-catfd_1_LHV_40)/catpn_1_LHB_1+catfd_1_LHV_40/catpn_1_LHV_40),0)</f>
        <v>0</v>
      </c>
      <c r="H15" s="20" t="s">
        <v>40</v>
      </c>
      <c r="I15" s="35">
        <f>IF(AND(catpn_1_LHB_1&gt;0,catpn_1_LHV_40&gt;0),(cattf_1_LHB_1*((dagenperjaar1*VLOOKUP(B15,dagsoorttabel1,2,FALSE))-catfd_1_LHV_40)/catpn_1_LHB_1+cattf_1_LHV_40*catfd_1_LHV_40/catpn_1_LHV_40)/(((dagenperjaar1*VLOOKUP(B15,dagsoorttabel1,2,FALSE))-catfd_1_LHV_40)/catpn_1_LHB_1+catfd_1_LHV_40/catpn_1_LHV_40),0)</f>
        <v>0</v>
      </c>
      <c r="J15" s="33">
        <f>IF(OR(ISBLANK(G15),G15=0),0,F15/ROUND(G15,4))</f>
        <v>0</v>
      </c>
      <c r="K15" s="35">
        <f>ROUND(I15,2)*J15</f>
        <v>0</v>
      </c>
      <c r="L15" s="33">
        <f>J15*dagenperjaar1</f>
        <v>0</v>
      </c>
      <c r="M15" s="35">
        <f>L15*ROUND(I15,2)</f>
        <v>0</v>
      </c>
    </row>
    <row r="16" spans="1:13" x14ac:dyDescent="0.2">
      <c r="A16" s="20" t="s">
        <v>146</v>
      </c>
      <c r="B16" s="20" t="s">
        <v>17</v>
      </c>
      <c r="C16" s="20" t="s">
        <v>132</v>
      </c>
      <c r="D16" s="20" t="s">
        <v>147</v>
      </c>
      <c r="E16" s="33">
        <v>171.5</v>
      </c>
      <c r="F16" s="33">
        <f>E16*VLOOKUP(B16,dagsoorttabel1,2,FALSE)</f>
        <v>52.769230769230774</v>
      </c>
      <c r="G16" s="34">
        <f>IF(AND(catpn_1_LHB_1&gt;0,catpn_1_LHV_40&gt;0),(dagenperjaar1*VLOOKUP(B16,dagsoorttabel1,2,FALSE))/(((dagenperjaar1*VLOOKUP(B16,dagsoorttabel1,2,FALSE))-catfd_1_LHV_40)/catpn_1_LHB_1+catfd_1_LHV_40/catpn_1_LHV_40),0)</f>
        <v>0</v>
      </c>
      <c r="H16" s="20" t="s">
        <v>40</v>
      </c>
      <c r="I16" s="35">
        <f>IF(AND(catpn_1_LHB_1&gt;0,catpn_1_LHV_40&gt;0),(cattf_1_LHB_1*((dagenperjaar1*VLOOKUP(B16,dagsoorttabel1,2,FALSE))-catfd_1_LHV_40)/catpn_1_LHB_1+cattf_1_LHV_40*catfd_1_LHV_40/catpn_1_LHV_40)/(((dagenperjaar1*VLOOKUP(B16,dagsoorttabel1,2,FALSE))-catfd_1_LHV_40)/catpn_1_LHB_1+catfd_1_LHV_40/catpn_1_LHV_40),0)</f>
        <v>0</v>
      </c>
      <c r="J16" s="33">
        <f>IF(OR(ISBLANK(G16),G16=0),0,F16/ROUND(G16,4))</f>
        <v>0</v>
      </c>
      <c r="K16" s="35">
        <f>ROUND(I16,2)*J16</f>
        <v>0</v>
      </c>
      <c r="L16" s="33">
        <f>J16*dagenperjaar1</f>
        <v>0</v>
      </c>
      <c r="M16" s="35">
        <f>L16*ROUND(I16,2)</f>
        <v>0</v>
      </c>
    </row>
    <row r="17" spans="1:13" x14ac:dyDescent="0.2">
      <c r="A17" s="20" t="s">
        <v>148</v>
      </c>
      <c r="B17" s="20" t="s">
        <v>11</v>
      </c>
      <c r="C17" s="20" t="s">
        <v>132</v>
      </c>
      <c r="D17" s="20" t="s">
        <v>149</v>
      </c>
      <c r="E17" s="33">
        <v>4358.74</v>
      </c>
      <c r="F17" s="33">
        <f>E17*VLOOKUP(B17,dagsoorttabel1,2,FALSE)</f>
        <v>3352.876923076923</v>
      </c>
      <c r="G17" s="34">
        <f>IF(AND(catpn_1_LZB_1&gt;0,catpn_1_LZV_40&gt;0),(dagenperjaar1*VLOOKUP(B17,dagsoorttabel1,2,FALSE))/(((dagenperjaar1*VLOOKUP(B17,dagsoorttabel1,2,FALSE))-catfd_1_LZV_40)/catpn_1_LZB_1+catfd_1_LZV_40/catpn_1_LZV_40),0)</f>
        <v>0</v>
      </c>
      <c r="H17" s="20" t="s">
        <v>40</v>
      </c>
      <c r="I17" s="35">
        <f>IF(AND(catpn_1_LZB_1&gt;0,catpn_1_LZV_40&gt;0),(cattf_1_LZB_1*((dagenperjaar1*VLOOKUP(B17,dagsoorttabel1,2,FALSE))-catfd_1_LZV_40)/catpn_1_LZB_1+cattf_1_LZV_40*catfd_1_LZV_40/catpn_1_LZV_40)/(((dagenperjaar1*VLOOKUP(B17,dagsoorttabel1,2,FALSE))-catfd_1_LZV_40)/catpn_1_LZB_1+catfd_1_LZV_40/catpn_1_LZV_40),0)</f>
        <v>0</v>
      </c>
      <c r="J17" s="33">
        <f>IF(OR(ISBLANK(G17),G17=0),0,F17/ROUND(G17,4))</f>
        <v>0</v>
      </c>
      <c r="K17" s="35">
        <f>ROUND(I17,2)*J17</f>
        <v>0</v>
      </c>
      <c r="L17" s="33">
        <f>J17*dagenperjaar1</f>
        <v>0</v>
      </c>
      <c r="M17" s="35">
        <f>L17*ROUND(I17,2)</f>
        <v>0</v>
      </c>
    </row>
    <row r="18" spans="1:13" x14ac:dyDescent="0.2">
      <c r="A18" s="20" t="s">
        <v>150</v>
      </c>
      <c r="B18" s="20" t="s">
        <v>19</v>
      </c>
      <c r="C18" s="20" t="s">
        <v>132</v>
      </c>
      <c r="D18" s="20" t="s">
        <v>151</v>
      </c>
      <c r="E18" s="33">
        <v>32.400000000000006</v>
      </c>
      <c r="F18" s="33">
        <f>E18*VLOOKUP(B18,dagsoorttabel1,2,FALSE)</f>
        <v>4.9846153846153856</v>
      </c>
      <c r="G18" s="34">
        <f>IF(AND(catpn_1_OHB_1&gt;0,catpn_1_OHV_12&gt;0),(dagenperjaar1*VLOOKUP(B18,dagsoorttabel1,2,FALSE))/(((dagenperjaar1*VLOOKUP(B18,dagsoorttabel1,2,FALSE))-catfd_1_OHV_12)/catpn_1_OHB_1+catfd_1_OHV_12/catpn_1_OHV_12),0)</f>
        <v>0</v>
      </c>
      <c r="H18" s="20" t="s">
        <v>40</v>
      </c>
      <c r="I18" s="35">
        <f>IF(AND(catpn_1_OHB_1&gt;0,catpn_1_OHV_12&gt;0),(cattf_1_OHB_1*((dagenperjaar1*VLOOKUP(B18,dagsoorttabel1,2,FALSE))-catfd_1_OHV_12)/catpn_1_OHB_1+cattf_1_OHV_12*catfd_1_OHV_12/catpn_1_OHV_12)/(((dagenperjaar1*VLOOKUP(B18,dagsoorttabel1,2,FALSE))-catfd_1_OHV_12)/catpn_1_OHB_1+catfd_1_OHV_12/catpn_1_OHV_12),0)</f>
        <v>0</v>
      </c>
      <c r="J18" s="33">
        <f>IF(OR(ISBLANK(G18),G18=0),0,F18/ROUND(G18,4))</f>
        <v>0</v>
      </c>
      <c r="K18" s="35">
        <f>ROUND(I18,2)*J18</f>
        <v>0</v>
      </c>
      <c r="L18" s="33">
        <f>J18*dagenperjaar1</f>
        <v>0</v>
      </c>
      <c r="M18" s="35">
        <f>L18*ROUND(I18,2)</f>
        <v>0</v>
      </c>
    </row>
    <row r="19" spans="1:13" x14ac:dyDescent="0.2">
      <c r="A19" s="20" t="s">
        <v>152</v>
      </c>
      <c r="B19" s="20" t="s">
        <v>11</v>
      </c>
      <c r="C19" s="20" t="s">
        <v>132</v>
      </c>
      <c r="D19" s="20" t="s">
        <v>153</v>
      </c>
      <c r="E19" s="33">
        <v>36.64</v>
      </c>
      <c r="F19" s="33">
        <f>E19*VLOOKUP(B19,dagsoorttabel1,2,FALSE)</f>
        <v>28.184615384615388</v>
      </c>
      <c r="G19" s="34">
        <f>IF(AND(catpn_1_PHB_1&gt;0,catpn_1_PHV_40&gt;0),(dagenperjaar1*VLOOKUP(B19,dagsoorttabel1,2,FALSE))/(((dagenperjaar1*VLOOKUP(B19,dagsoorttabel1,2,FALSE))-catfd_1_PHV_40)/catpn_1_PHB_1+catfd_1_PHV_40/catpn_1_PHV_40),0)</f>
        <v>0</v>
      </c>
      <c r="H19" s="20" t="s">
        <v>40</v>
      </c>
      <c r="I19" s="35">
        <f>IF(AND(catpn_1_PHB_1&gt;0,catpn_1_PHV_40&gt;0),(cattf_1_PHB_1*((dagenperjaar1*VLOOKUP(B19,dagsoorttabel1,2,FALSE))-catfd_1_PHV_40)/catpn_1_PHB_1+cattf_1_PHV_40*catfd_1_PHV_40/catpn_1_PHV_40)/(((dagenperjaar1*VLOOKUP(B19,dagsoorttabel1,2,FALSE))-catfd_1_PHV_40)/catpn_1_PHB_1+catfd_1_PHV_40/catpn_1_PHV_40),0)</f>
        <v>0</v>
      </c>
      <c r="J19" s="33">
        <f>IF(OR(ISBLANK(G19),G19=0),0,F19/ROUND(G19,4))</f>
        <v>0</v>
      </c>
      <c r="K19" s="35">
        <f>ROUND(I19,2)*J19</f>
        <v>0</v>
      </c>
      <c r="L19" s="33">
        <f>J19*dagenperjaar1</f>
        <v>0</v>
      </c>
      <c r="M19" s="35">
        <f>L19*ROUND(I19,2)</f>
        <v>0</v>
      </c>
    </row>
    <row r="20" spans="1:13" x14ac:dyDescent="0.2">
      <c r="A20" s="20" t="s">
        <v>152</v>
      </c>
      <c r="B20" s="20" t="s">
        <v>17</v>
      </c>
      <c r="C20" s="20" t="s">
        <v>132</v>
      </c>
      <c r="D20" s="20" t="s">
        <v>153</v>
      </c>
      <c r="E20" s="33">
        <v>7.4</v>
      </c>
      <c r="F20" s="33">
        <f>E20*VLOOKUP(B20,dagsoorttabel1,2,FALSE)</f>
        <v>2.2769230769230773</v>
      </c>
      <c r="G20" s="34">
        <f>IF(AND(catpn_1_PHB_1&gt;0,catpn_1_PHV_40&gt;0),(dagenperjaar1*VLOOKUP(B20,dagsoorttabel1,2,FALSE))/(((dagenperjaar1*VLOOKUP(B20,dagsoorttabel1,2,FALSE))-catfd_1_PHV_40)/catpn_1_PHB_1+catfd_1_PHV_40/catpn_1_PHV_40),0)</f>
        <v>0</v>
      </c>
      <c r="H20" s="20" t="s">
        <v>40</v>
      </c>
      <c r="I20" s="35">
        <f>IF(AND(catpn_1_PHB_1&gt;0,catpn_1_PHV_40&gt;0),(cattf_1_PHB_1*((dagenperjaar1*VLOOKUP(B20,dagsoorttabel1,2,FALSE))-catfd_1_PHV_40)/catpn_1_PHB_1+cattf_1_PHV_40*catfd_1_PHV_40/catpn_1_PHV_40)/(((dagenperjaar1*VLOOKUP(B20,dagsoorttabel1,2,FALSE))-catfd_1_PHV_40)/catpn_1_PHB_1+catfd_1_PHV_40/catpn_1_PHV_40),0)</f>
        <v>0</v>
      </c>
      <c r="J20" s="33">
        <f>IF(OR(ISBLANK(G20),G20=0),0,F20/ROUND(G20,4))</f>
        <v>0</v>
      </c>
      <c r="K20" s="35">
        <f>ROUND(I20,2)*J20</f>
        <v>0</v>
      </c>
      <c r="L20" s="33">
        <f>J20*dagenperjaar1</f>
        <v>0</v>
      </c>
      <c r="M20" s="35">
        <f>L20*ROUND(I20,2)</f>
        <v>0</v>
      </c>
    </row>
    <row r="21" spans="1:13" x14ac:dyDescent="0.2">
      <c r="A21" s="20" t="s">
        <v>154</v>
      </c>
      <c r="B21" s="20" t="s">
        <v>11</v>
      </c>
      <c r="C21" s="20" t="s">
        <v>132</v>
      </c>
      <c r="D21" s="20" t="s">
        <v>155</v>
      </c>
      <c r="E21" s="33">
        <v>160.95000000000002</v>
      </c>
      <c r="F21" s="33">
        <f>E21*VLOOKUP(B21,dagsoorttabel1,2,FALSE)</f>
        <v>123.80769230769232</v>
      </c>
      <c r="G21" s="34">
        <f>IF(AND(catpn_1_PMHB_1&gt;0,catpn_1_PMHV_40&gt;0),(dagenperjaar1*VLOOKUP(B21,dagsoorttabel1,2,FALSE))/(((dagenperjaar1*VLOOKUP(B21,dagsoorttabel1,2,FALSE))-catfd_1_PMHV_40)/catpn_1_PMHB_1+catfd_1_PMHV_40/catpn_1_PMHV_40),0)</f>
        <v>0</v>
      </c>
      <c r="H21" s="20" t="s">
        <v>40</v>
      </c>
      <c r="I21" s="35">
        <f>IF(AND(catpn_1_PMHB_1&gt;0,catpn_1_PMHV_40&gt;0),(cattf_1_PMHB_1*((dagenperjaar1*VLOOKUP(B21,dagsoorttabel1,2,FALSE))-catfd_1_PMHV_40)/catpn_1_PMHB_1+cattf_1_PMHV_40*catfd_1_PMHV_40/catpn_1_PMHV_40)/(((dagenperjaar1*VLOOKUP(B21,dagsoorttabel1,2,FALSE))-catfd_1_PMHV_40)/catpn_1_PMHB_1+catfd_1_PMHV_40/catpn_1_PMHV_40),0)</f>
        <v>0</v>
      </c>
      <c r="J21" s="33">
        <f>IF(OR(ISBLANK(G21),G21=0),0,F21/ROUND(G21,4))</f>
        <v>0</v>
      </c>
      <c r="K21" s="35">
        <f>ROUND(I21,2)*J21</f>
        <v>0</v>
      </c>
      <c r="L21" s="33">
        <f>J21*dagenperjaar1</f>
        <v>0</v>
      </c>
      <c r="M21" s="35">
        <f>L21*ROUND(I21,2)</f>
        <v>0</v>
      </c>
    </row>
    <row r="22" spans="1:13" x14ac:dyDescent="0.2">
      <c r="A22" s="20" t="s">
        <v>156</v>
      </c>
      <c r="B22" s="20" t="s">
        <v>11</v>
      </c>
      <c r="C22" s="20" t="s">
        <v>132</v>
      </c>
      <c r="D22" s="20" t="s">
        <v>157</v>
      </c>
      <c r="E22" s="33">
        <v>105.38</v>
      </c>
      <c r="F22" s="33">
        <f>E22*VLOOKUP(B22,dagsoorttabel1,2,FALSE)</f>
        <v>81.061538461538461</v>
      </c>
      <c r="G22" s="34">
        <f>IF(AND(catpn_1_PMZB_1&gt;0,catpn_1_PMZV_40&gt;0),(dagenperjaar1*VLOOKUP(B22,dagsoorttabel1,2,FALSE))/(((dagenperjaar1*VLOOKUP(B22,dagsoorttabel1,2,FALSE))-catfd_1_PMZV_40)/catpn_1_PMZB_1+catfd_1_PMZV_40/catpn_1_PMZV_40),0)</f>
        <v>0</v>
      </c>
      <c r="H22" s="20" t="s">
        <v>40</v>
      </c>
      <c r="I22" s="35">
        <f>IF(AND(catpn_1_PMZB_1&gt;0,catpn_1_PMZV_40&gt;0),(cattf_1_PMZB_1*((dagenperjaar1*VLOOKUP(B22,dagsoorttabel1,2,FALSE))-catfd_1_PMZV_40)/catpn_1_PMZB_1+cattf_1_PMZV_40*catfd_1_PMZV_40/catpn_1_PMZV_40)/(((dagenperjaar1*VLOOKUP(B22,dagsoorttabel1,2,FALSE))-catfd_1_PMZV_40)/catpn_1_PMZB_1+catfd_1_PMZV_40/catpn_1_PMZV_40),0)</f>
        <v>0</v>
      </c>
      <c r="J22" s="33">
        <f>IF(OR(ISBLANK(G22),G22=0),0,F22/ROUND(G22,4))</f>
        <v>0</v>
      </c>
      <c r="K22" s="35">
        <f>ROUND(I22,2)*J22</f>
        <v>0</v>
      </c>
      <c r="L22" s="33">
        <f>J22*dagenperjaar1</f>
        <v>0</v>
      </c>
      <c r="M22" s="35">
        <f>L22*ROUND(I22,2)</f>
        <v>0</v>
      </c>
    </row>
    <row r="23" spans="1:13" x14ac:dyDescent="0.2">
      <c r="A23" s="20" t="s">
        <v>158</v>
      </c>
      <c r="B23" s="20" t="s">
        <v>11</v>
      </c>
      <c r="C23" s="20" t="s">
        <v>132</v>
      </c>
      <c r="D23" s="20" t="s">
        <v>159</v>
      </c>
      <c r="E23" s="33">
        <v>207.7</v>
      </c>
      <c r="F23" s="33">
        <f>E23*VLOOKUP(B23,dagsoorttabel1,2,FALSE)</f>
        <v>159.76923076923077</v>
      </c>
      <c r="G23" s="34">
        <f>IF(AND(catpn_1_PSHB_1&gt;0,catpn_1_PSHV_40&gt;0),(dagenperjaar1*VLOOKUP(B23,dagsoorttabel1,2,FALSE))/(((dagenperjaar1*VLOOKUP(B23,dagsoorttabel1,2,FALSE))-catfd_1_PSHV_40)/catpn_1_PSHB_1+catfd_1_PSHV_40/catpn_1_PSHV_40),0)</f>
        <v>0</v>
      </c>
      <c r="H23" s="20" t="s">
        <v>40</v>
      </c>
      <c r="I23" s="35">
        <f>IF(AND(catpn_1_PSHB_1&gt;0,catpn_1_PSHV_40&gt;0),(cattf_1_PSHB_1*((dagenperjaar1*VLOOKUP(B23,dagsoorttabel1,2,FALSE))-catfd_1_PSHV_40)/catpn_1_PSHB_1+cattf_1_PSHV_40*catfd_1_PSHV_40/catpn_1_PSHV_40)/(((dagenperjaar1*VLOOKUP(B23,dagsoorttabel1,2,FALSE))-catfd_1_PSHV_40)/catpn_1_PSHB_1+catfd_1_PSHV_40/catpn_1_PSHV_40),0)</f>
        <v>0</v>
      </c>
      <c r="J23" s="33">
        <f>IF(OR(ISBLANK(G23),G23=0),0,F23/ROUND(G23,4))</f>
        <v>0</v>
      </c>
      <c r="K23" s="35">
        <f>ROUND(I23,2)*J23</f>
        <v>0</v>
      </c>
      <c r="L23" s="33">
        <f>J23*dagenperjaar1</f>
        <v>0</v>
      </c>
      <c r="M23" s="35">
        <f>L23*ROUND(I23,2)</f>
        <v>0</v>
      </c>
    </row>
    <row r="24" spans="1:13" x14ac:dyDescent="0.2">
      <c r="A24" s="20" t="s">
        <v>158</v>
      </c>
      <c r="B24" s="20" t="s">
        <v>19</v>
      </c>
      <c r="C24" s="20" t="s">
        <v>132</v>
      </c>
      <c r="D24" s="20" t="s">
        <v>159</v>
      </c>
      <c r="E24" s="33">
        <v>11.7</v>
      </c>
      <c r="F24" s="33">
        <f>E24*VLOOKUP(B24,dagsoorttabel1,2,FALSE)</f>
        <v>1.8</v>
      </c>
      <c r="G24" s="34">
        <f>IF(AND(catpn_1_PSHB_1&gt;0,catpn_1_PSHV_40&gt;0),(dagenperjaar1*VLOOKUP(B24,dagsoorttabel1,2,FALSE))/(((dagenperjaar1*VLOOKUP(B24,dagsoorttabel1,2,FALSE))-catfd_1_PSHV_40)/catpn_1_PSHB_1+catfd_1_PSHV_40/catpn_1_PSHV_40),0)</f>
        <v>0</v>
      </c>
      <c r="H24" s="20" t="s">
        <v>40</v>
      </c>
      <c r="I24" s="35">
        <f>IF(AND(catpn_1_PSHB_1&gt;0,catpn_1_PSHV_40&gt;0),(cattf_1_PSHB_1*((dagenperjaar1*VLOOKUP(B24,dagsoorttabel1,2,FALSE))-catfd_1_PSHV_40)/catpn_1_PSHB_1+cattf_1_PSHV_40*catfd_1_PSHV_40/catpn_1_PSHV_40)/(((dagenperjaar1*VLOOKUP(B24,dagsoorttabel1,2,FALSE))-catfd_1_PSHV_40)/catpn_1_PSHB_1+catfd_1_PSHV_40/catpn_1_PSHV_40),0)</f>
        <v>0</v>
      </c>
      <c r="J24" s="33">
        <f>IF(OR(ISBLANK(G24),G24=0),0,F24/ROUND(G24,4))</f>
        <v>0</v>
      </c>
      <c r="K24" s="35">
        <f>ROUND(I24,2)*J24</f>
        <v>0</v>
      </c>
      <c r="L24" s="33">
        <f>J24*dagenperjaar1</f>
        <v>0</v>
      </c>
      <c r="M24" s="35">
        <f>L24*ROUND(I24,2)</f>
        <v>0</v>
      </c>
    </row>
    <row r="25" spans="1:13" x14ac:dyDescent="0.2">
      <c r="A25" s="20" t="s">
        <v>160</v>
      </c>
      <c r="B25" s="20" t="s">
        <v>11</v>
      </c>
      <c r="C25" s="20" t="s">
        <v>132</v>
      </c>
      <c r="D25" s="20" t="s">
        <v>161</v>
      </c>
      <c r="E25" s="33">
        <v>93</v>
      </c>
      <c r="F25" s="33">
        <f>E25*VLOOKUP(B25,dagsoorttabel1,2,FALSE)</f>
        <v>71.538461538461547</v>
      </c>
      <c r="G25" s="34">
        <f>IF(AND(catpn_1_PUHB_1&gt;0,catpn_1_PUHV_40&gt;0),(dagenperjaar1*VLOOKUP(B25,dagsoorttabel1,2,FALSE))/(((dagenperjaar1*VLOOKUP(B25,dagsoorttabel1,2,FALSE))-catfd_1_PUHV_40)/catpn_1_PUHB_1+catfd_1_PUHV_40/catpn_1_PUHV_40),0)</f>
        <v>0</v>
      </c>
      <c r="H25" s="20" t="s">
        <v>40</v>
      </c>
      <c r="I25" s="35">
        <f>IF(AND(catpn_1_PUHB_1&gt;0,catpn_1_PUHV_40&gt;0),(cattf_1_PUHB_1*((dagenperjaar1*VLOOKUP(B25,dagsoorttabel1,2,FALSE))-catfd_1_PUHV_40)/catpn_1_PUHB_1+cattf_1_PUHV_40*catfd_1_PUHV_40/catpn_1_PUHV_40)/(((dagenperjaar1*VLOOKUP(B25,dagsoorttabel1,2,FALSE))-catfd_1_PUHV_40)/catpn_1_PUHB_1+catfd_1_PUHV_40/catpn_1_PUHV_40),0)</f>
        <v>0</v>
      </c>
      <c r="J25" s="33">
        <f>IF(OR(ISBLANK(G25),G25=0),0,F25/ROUND(G25,4))</f>
        <v>0</v>
      </c>
      <c r="K25" s="35">
        <f>ROUND(I25,2)*J25</f>
        <v>0</v>
      </c>
      <c r="L25" s="33">
        <f>J25*dagenperjaar1</f>
        <v>0</v>
      </c>
      <c r="M25" s="35">
        <f>L25*ROUND(I25,2)</f>
        <v>0</v>
      </c>
    </row>
    <row r="26" spans="1:13" x14ac:dyDescent="0.2">
      <c r="A26" s="20" t="s">
        <v>162</v>
      </c>
      <c r="B26" s="20" t="s">
        <v>11</v>
      </c>
      <c r="C26" s="20" t="s">
        <v>132</v>
      </c>
      <c r="D26" s="20" t="s">
        <v>163</v>
      </c>
      <c r="E26" s="33">
        <v>529.13</v>
      </c>
      <c r="F26" s="33">
        <f>E26*VLOOKUP(B26,dagsoorttabel1,2,FALSE)</f>
        <v>407.02307692307693</v>
      </c>
      <c r="G26" s="34">
        <f>IF(AND(catpn_1_SHB_1&gt;0,catpn_1_SHV_40&gt;0),(dagenperjaar1*VLOOKUP(B26,dagsoorttabel1,2,FALSE))/(((dagenperjaar1*VLOOKUP(B26,dagsoorttabel1,2,FALSE))-catfd_1_SHV_40)/catpn_1_SHB_1+catfd_1_SHV_40/catpn_1_SHV_40),0)</f>
        <v>0</v>
      </c>
      <c r="H26" s="20" t="s">
        <v>40</v>
      </c>
      <c r="I26" s="35">
        <f>IF(AND(catpn_1_SHB_1&gt;0,catpn_1_SHV_40&gt;0),(cattf_1_SHB_1*((dagenperjaar1*VLOOKUP(B26,dagsoorttabel1,2,FALSE))-catfd_1_SHV_40)/catpn_1_SHB_1+cattf_1_SHV_40*catfd_1_SHV_40/catpn_1_SHV_40)/(((dagenperjaar1*VLOOKUP(B26,dagsoorttabel1,2,FALSE))-catfd_1_SHV_40)/catpn_1_SHB_1+catfd_1_SHV_40/catpn_1_SHV_40),0)</f>
        <v>0</v>
      </c>
      <c r="J26" s="33">
        <f>IF(OR(ISBLANK(G26),G26=0),0,F26/ROUND(G26,4))</f>
        <v>0</v>
      </c>
      <c r="K26" s="35">
        <f>ROUND(I26,2)*J26</f>
        <v>0</v>
      </c>
      <c r="L26" s="33">
        <f>J26*dagenperjaar1</f>
        <v>0</v>
      </c>
      <c r="M26" s="35">
        <f>L26*ROUND(I26,2)</f>
        <v>0</v>
      </c>
    </row>
    <row r="27" spans="1:13" x14ac:dyDescent="0.2">
      <c r="A27" s="20" t="s">
        <v>162</v>
      </c>
      <c r="B27" s="20" t="s">
        <v>17</v>
      </c>
      <c r="C27" s="20" t="s">
        <v>132</v>
      </c>
      <c r="D27" s="20" t="s">
        <v>163</v>
      </c>
      <c r="E27" s="33">
        <v>39</v>
      </c>
      <c r="F27" s="33">
        <f>E27*VLOOKUP(B27,dagsoorttabel1,2,FALSE)</f>
        <v>12</v>
      </c>
      <c r="G27" s="34">
        <f>IF(AND(catpn_1_SHB_1&gt;0,catpn_1_SHV_40&gt;0),(dagenperjaar1*VLOOKUP(B27,dagsoorttabel1,2,FALSE))/(((dagenperjaar1*VLOOKUP(B27,dagsoorttabel1,2,FALSE))-catfd_1_SHV_40)/catpn_1_SHB_1+catfd_1_SHV_40/catpn_1_SHV_40),0)</f>
        <v>0</v>
      </c>
      <c r="H27" s="20" t="s">
        <v>40</v>
      </c>
      <c r="I27" s="35">
        <f>IF(AND(catpn_1_SHB_1&gt;0,catpn_1_SHV_40&gt;0),(cattf_1_SHB_1*((dagenperjaar1*VLOOKUP(B27,dagsoorttabel1,2,FALSE))-catfd_1_SHV_40)/catpn_1_SHB_1+cattf_1_SHV_40*catfd_1_SHV_40/catpn_1_SHV_40)/(((dagenperjaar1*VLOOKUP(B27,dagsoorttabel1,2,FALSE))-catfd_1_SHV_40)/catpn_1_SHB_1+catfd_1_SHV_40/catpn_1_SHV_40),0)</f>
        <v>0</v>
      </c>
      <c r="J27" s="33">
        <f>IF(OR(ISBLANK(G27),G27=0),0,F27/ROUND(G27,4))</f>
        <v>0</v>
      </c>
      <c r="K27" s="35">
        <f>ROUND(I27,2)*J27</f>
        <v>0</v>
      </c>
      <c r="L27" s="33">
        <f>J27*dagenperjaar1</f>
        <v>0</v>
      </c>
      <c r="M27" s="35">
        <f>L27*ROUND(I27,2)</f>
        <v>0</v>
      </c>
    </row>
    <row r="28" spans="1:13" x14ac:dyDescent="0.2">
      <c r="A28" s="20" t="s">
        <v>164</v>
      </c>
      <c r="B28" s="20" t="s">
        <v>11</v>
      </c>
      <c r="C28" s="20" t="s">
        <v>132</v>
      </c>
      <c r="D28" s="20" t="s">
        <v>165</v>
      </c>
      <c r="E28" s="33">
        <v>347.53</v>
      </c>
      <c r="F28" s="33">
        <f>E28*VLOOKUP(B28,dagsoorttabel1,2,FALSE)</f>
        <v>267.33076923076925</v>
      </c>
      <c r="G28" s="34">
        <f>catpn_1_SHB_1</f>
        <v>0</v>
      </c>
      <c r="H28" s="20" t="s">
        <v>40</v>
      </c>
      <c r="I28" s="35">
        <f>cattf_1_SHB_1</f>
        <v>0</v>
      </c>
      <c r="J28" s="33">
        <f>IF(OR(ISBLANK(G28),G28=0),0,F28/ROUND(G28,4))</f>
        <v>0</v>
      </c>
      <c r="K28" s="35">
        <f>ROUND(I28,2)*J28</f>
        <v>0</v>
      </c>
      <c r="L28" s="33">
        <f>J28*dagenperjaar1</f>
        <v>0</v>
      </c>
      <c r="M28" s="35">
        <f>L28*ROUND(I28,2)</f>
        <v>0</v>
      </c>
    </row>
    <row r="29" spans="1:13" x14ac:dyDescent="0.2">
      <c r="A29" s="20" t="s">
        <v>166</v>
      </c>
      <c r="B29" s="20" t="s">
        <v>11</v>
      </c>
      <c r="C29" s="20" t="s">
        <v>132</v>
      </c>
      <c r="D29" s="20" t="s">
        <v>167</v>
      </c>
      <c r="E29" s="33">
        <v>610</v>
      </c>
      <c r="F29" s="33">
        <f>E29*VLOOKUP(B29,dagsoorttabel1,2,FALSE)</f>
        <v>469.23076923076928</v>
      </c>
      <c r="G29" s="34">
        <f>IF(AND(catpn_1_THB_1&gt;0,catpn_1_THV_40&gt;0),(dagenperjaar1*VLOOKUP(B29,dagsoorttabel1,2,FALSE))/(((dagenperjaar1*VLOOKUP(B29,dagsoorttabel1,2,FALSE))-catfd_1_THV_40)/catpn_1_THB_1+catfd_1_THV_40/catpn_1_THV_40),0)</f>
        <v>0</v>
      </c>
      <c r="H29" s="20" t="s">
        <v>40</v>
      </c>
      <c r="I29" s="35">
        <f>IF(AND(catpn_1_THB_1&gt;0,catpn_1_THV_40&gt;0),(cattf_1_THB_1*((dagenperjaar1*VLOOKUP(B29,dagsoorttabel1,2,FALSE))-catfd_1_THV_40)/catpn_1_THB_1+cattf_1_THV_40*catfd_1_THV_40/catpn_1_THV_40)/(((dagenperjaar1*VLOOKUP(B29,dagsoorttabel1,2,FALSE))-catfd_1_THV_40)/catpn_1_THB_1+catfd_1_THV_40/catpn_1_THV_40),0)</f>
        <v>0</v>
      </c>
      <c r="J29" s="33">
        <f>IF(OR(ISBLANK(G29),G29=0),0,F29/ROUND(G29,4))</f>
        <v>0</v>
      </c>
      <c r="K29" s="35">
        <f>ROUND(I29,2)*J29</f>
        <v>0</v>
      </c>
      <c r="L29" s="33">
        <f>J29*dagenperjaar1</f>
        <v>0</v>
      </c>
      <c r="M29" s="35">
        <f>L29*ROUND(I29,2)</f>
        <v>0</v>
      </c>
    </row>
    <row r="30" spans="1:13" x14ac:dyDescent="0.2">
      <c r="A30" s="20" t="s">
        <v>166</v>
      </c>
      <c r="B30" s="20" t="s">
        <v>17</v>
      </c>
      <c r="C30" s="20" t="s">
        <v>132</v>
      </c>
      <c r="D30" s="20" t="s">
        <v>167</v>
      </c>
      <c r="E30" s="33">
        <v>20</v>
      </c>
      <c r="F30" s="33">
        <f>E30*VLOOKUP(B30,dagsoorttabel1,2,FALSE)</f>
        <v>6.1538461538461542</v>
      </c>
      <c r="G30" s="34">
        <f>IF(AND(catpn_1_THB_1&gt;0,catpn_1_THV_40&gt;0),(dagenperjaar1*VLOOKUP(B30,dagsoorttabel1,2,FALSE))/(((dagenperjaar1*VLOOKUP(B30,dagsoorttabel1,2,FALSE))-catfd_1_THV_40)/catpn_1_THB_1+catfd_1_THV_40/catpn_1_THV_40),0)</f>
        <v>0</v>
      </c>
      <c r="H30" s="20" t="s">
        <v>40</v>
      </c>
      <c r="I30" s="35">
        <f>IF(AND(catpn_1_THB_1&gt;0,catpn_1_THV_40&gt;0),(cattf_1_THB_1*((dagenperjaar1*VLOOKUP(B30,dagsoorttabel1,2,FALSE))-catfd_1_THV_40)/catpn_1_THB_1+cattf_1_THV_40*catfd_1_THV_40/catpn_1_THV_40)/(((dagenperjaar1*VLOOKUP(B30,dagsoorttabel1,2,FALSE))-catfd_1_THV_40)/catpn_1_THB_1+catfd_1_THV_40/catpn_1_THV_40),0)</f>
        <v>0</v>
      </c>
      <c r="J30" s="33">
        <f>IF(OR(ISBLANK(G30),G30=0),0,F30/ROUND(G30,4))</f>
        <v>0</v>
      </c>
      <c r="K30" s="35">
        <f>ROUND(I30,2)*J30</f>
        <v>0</v>
      </c>
      <c r="L30" s="33">
        <f>J30*dagenperjaar1</f>
        <v>0</v>
      </c>
      <c r="M30" s="35">
        <f>L30*ROUND(I30,2)</f>
        <v>0</v>
      </c>
    </row>
    <row r="31" spans="1:13" x14ac:dyDescent="0.2">
      <c r="A31" s="20" t="s">
        <v>168</v>
      </c>
      <c r="B31" s="20" t="s">
        <v>11</v>
      </c>
      <c r="C31" s="20" t="s">
        <v>132</v>
      </c>
      <c r="D31" s="20" t="s">
        <v>169</v>
      </c>
      <c r="E31" s="33">
        <v>4057.23</v>
      </c>
      <c r="F31" s="33">
        <f>E31*VLOOKUP(B31,dagsoorttabel1,2,FALSE)</f>
        <v>3120.9461538461542</v>
      </c>
      <c r="G31" s="34">
        <f>IF(AND(catpn_1_VHB_1&gt;0,catpn_1_VHV_40&gt;0),(dagenperjaar1*VLOOKUP(B31,dagsoorttabel1,2,FALSE))/(((dagenperjaar1*VLOOKUP(B31,dagsoorttabel1,2,FALSE))-catfd_1_VHV_40)/catpn_1_VHB_1+catfd_1_VHV_40/catpn_1_VHV_40),0)</f>
        <v>0</v>
      </c>
      <c r="H31" s="20" t="s">
        <v>40</v>
      </c>
      <c r="I31" s="35">
        <f>IF(AND(catpn_1_VHB_1&gt;0,catpn_1_VHV_40&gt;0),(cattf_1_VHB_1*((dagenperjaar1*VLOOKUP(B31,dagsoorttabel1,2,FALSE))-catfd_1_VHV_40)/catpn_1_VHB_1+cattf_1_VHV_40*catfd_1_VHV_40/catpn_1_VHV_40)/(((dagenperjaar1*VLOOKUP(B31,dagsoorttabel1,2,FALSE))-catfd_1_VHV_40)/catpn_1_VHB_1+catfd_1_VHV_40/catpn_1_VHV_40),0)</f>
        <v>0</v>
      </c>
      <c r="J31" s="33">
        <f>IF(OR(ISBLANK(G31),G31=0),0,F31/ROUND(G31,4))</f>
        <v>0</v>
      </c>
      <c r="K31" s="35">
        <f>ROUND(I31,2)*J31</f>
        <v>0</v>
      </c>
      <c r="L31" s="33">
        <f>J31*dagenperjaar1</f>
        <v>0</v>
      </c>
      <c r="M31" s="35">
        <f>L31*ROUND(I31,2)</f>
        <v>0</v>
      </c>
    </row>
    <row r="32" spans="1:13" x14ac:dyDescent="0.2">
      <c r="A32" s="20" t="s">
        <v>168</v>
      </c>
      <c r="B32" s="20" t="s">
        <v>17</v>
      </c>
      <c r="C32" s="20" t="s">
        <v>132</v>
      </c>
      <c r="D32" s="20" t="s">
        <v>169</v>
      </c>
      <c r="E32" s="33">
        <v>35.799999999999997</v>
      </c>
      <c r="F32" s="33">
        <f>E32*VLOOKUP(B32,dagsoorttabel1,2,FALSE)</f>
        <v>11.015384615384615</v>
      </c>
      <c r="G32" s="34">
        <f>IF(AND(catpn_1_VHB_1&gt;0,catpn_1_VHV_5&gt;0),(dagenperjaar1*VLOOKUP(B32,dagsoorttabel1,2,FALSE))/(((dagenperjaar1*VLOOKUP(B32,dagsoorttabel1,2,FALSE))-catfd_1_VHV_5)/catpn_1_VHB_1+catfd_1_VHV_5/catpn_1_VHV_5),0)</f>
        <v>0</v>
      </c>
      <c r="H32" s="20" t="s">
        <v>40</v>
      </c>
      <c r="I32" s="35">
        <f>IF(AND(catpn_1_VHB_1&gt;0,catpn_1_VHV_5&gt;0),(cattf_1_VHB_1*((dagenperjaar1*VLOOKUP(B32,dagsoorttabel1,2,FALSE))-catfd_1_VHV_5)/catpn_1_VHB_1+cattf_1_VHV_5*catfd_1_VHV_5/catpn_1_VHV_5)/(((dagenperjaar1*VLOOKUP(B32,dagsoorttabel1,2,FALSE))-catfd_1_VHV_5)/catpn_1_VHB_1+catfd_1_VHV_5/catpn_1_VHV_5),0)</f>
        <v>0</v>
      </c>
      <c r="J32" s="33">
        <f>IF(OR(ISBLANK(G32),G32=0),0,F32/ROUND(G32,4))</f>
        <v>0</v>
      </c>
      <c r="K32" s="35">
        <f>ROUND(I32,2)*J32</f>
        <v>0</v>
      </c>
      <c r="L32" s="33">
        <f>J32*dagenperjaar1</f>
        <v>0</v>
      </c>
      <c r="M32" s="35">
        <f>L32*ROUND(I32,2)</f>
        <v>0</v>
      </c>
    </row>
    <row r="33" spans="1:13" x14ac:dyDescent="0.2">
      <c r="A33" s="20" t="s">
        <v>170</v>
      </c>
      <c r="B33" s="20" t="s">
        <v>11</v>
      </c>
      <c r="C33" s="20" t="s">
        <v>132</v>
      </c>
      <c r="D33" s="20" t="s">
        <v>171</v>
      </c>
      <c r="E33" s="33">
        <v>1101.8599999999999</v>
      </c>
      <c r="F33" s="33">
        <f>E33*VLOOKUP(B33,dagsoorttabel1,2,FALSE)</f>
        <v>847.5846153846154</v>
      </c>
      <c r="G33" s="34">
        <f>IF(AND(catpn_1_VZB_1&gt;0,catpn_1_VZV_40&gt;0),(dagenperjaar1*VLOOKUP(B33,dagsoorttabel1,2,FALSE))/(((dagenperjaar1*VLOOKUP(B33,dagsoorttabel1,2,FALSE))-catfd_1_VZV_40)/catpn_1_VZB_1+catfd_1_VZV_40/catpn_1_VZV_40),0)</f>
        <v>0</v>
      </c>
      <c r="H33" s="20" t="s">
        <v>40</v>
      </c>
      <c r="I33" s="35">
        <f>IF(AND(catpn_1_VZB_1&gt;0,catpn_1_VZV_40&gt;0),(cattf_1_VZB_1*((dagenperjaar1*VLOOKUP(B33,dagsoorttabel1,2,FALSE))-catfd_1_VZV_40)/catpn_1_VZB_1+cattf_1_VZV_40*catfd_1_VZV_40/catpn_1_VZV_40)/(((dagenperjaar1*VLOOKUP(B33,dagsoorttabel1,2,FALSE))-catfd_1_VZV_40)/catpn_1_VZB_1+catfd_1_VZV_40/catpn_1_VZV_40),0)</f>
        <v>0</v>
      </c>
      <c r="J33" s="33">
        <f>IF(OR(ISBLANK(G33),G33=0),0,F33/ROUND(G33,4))</f>
        <v>0</v>
      </c>
      <c r="K33" s="35">
        <f>ROUND(I33,2)*J33</f>
        <v>0</v>
      </c>
      <c r="L33" s="33">
        <f>J33*dagenperjaar1</f>
        <v>0</v>
      </c>
      <c r="M33" s="35">
        <f>L33*ROUND(I33,2)</f>
        <v>0</v>
      </c>
    </row>
    <row r="34" spans="1:13" x14ac:dyDescent="0.2">
      <c r="A34" s="20" t="s">
        <v>172</v>
      </c>
      <c r="B34" s="20" t="s">
        <v>27</v>
      </c>
      <c r="C34" s="20" t="s">
        <v>132</v>
      </c>
      <c r="D34" s="20" t="s">
        <v>173</v>
      </c>
      <c r="E34" s="33">
        <v>5364.4900000000007</v>
      </c>
      <c r="F34" s="33">
        <f>E34*VLOOKUP(B34,dagsoorttabel1,2,FALSE)</f>
        <v>20.63265384615385</v>
      </c>
      <c r="G34" s="34">
        <f>catpn_1_XBB_1</f>
        <v>0</v>
      </c>
      <c r="H34" s="20" t="s">
        <v>40</v>
      </c>
      <c r="I34" s="35">
        <f>cattf_1_XBB_1</f>
        <v>0</v>
      </c>
      <c r="J34" s="33">
        <f>IF(OR(ISBLANK(G34),G34=0),0,F34/ROUND(G34,4))</f>
        <v>0</v>
      </c>
      <c r="K34" s="35">
        <f>ROUND(I34,2)*J34</f>
        <v>0</v>
      </c>
      <c r="L34" s="33">
        <f>J34*dagenperjaar1</f>
        <v>0</v>
      </c>
      <c r="M34" s="35">
        <f>L34*ROUND(I34,2)</f>
        <v>0</v>
      </c>
    </row>
    <row r="35" spans="1:13" x14ac:dyDescent="0.2">
      <c r="A35" s="20" t="s">
        <v>174</v>
      </c>
      <c r="B35" s="20" t="s">
        <v>11</v>
      </c>
      <c r="C35" s="20" t="s">
        <v>175</v>
      </c>
      <c r="D35" s="20" t="s">
        <v>176</v>
      </c>
      <c r="E35" s="33">
        <v>157</v>
      </c>
      <c r="F35" s="33">
        <f>E35*VLOOKUP(B35,dagsoorttabel1,2,FALSE)</f>
        <v>120.76923076923077</v>
      </c>
      <c r="G35" s="36"/>
      <c r="H35" s="20" t="s">
        <v>40</v>
      </c>
      <c r="I35" s="24"/>
      <c r="J35" s="33">
        <f>IF(OR(ISBLANK(G35),G35=0),0,F35/ROUND(G35,4))</f>
        <v>0</v>
      </c>
      <c r="K35" s="35">
        <f>ROUND(I35,2)*J35</f>
        <v>0</v>
      </c>
      <c r="L35" s="33">
        <f>J35*dagenperjaar1</f>
        <v>0</v>
      </c>
      <c r="M35" s="35">
        <f>L35*ROUND(I35,2)</f>
        <v>0</v>
      </c>
    </row>
    <row r="36" spans="1:13" x14ac:dyDescent="0.2">
      <c r="A36" s="20" t="s">
        <v>177</v>
      </c>
      <c r="B36" s="20" t="s">
        <v>11</v>
      </c>
      <c r="C36" s="20" t="s">
        <v>175</v>
      </c>
      <c r="D36" s="20" t="s">
        <v>178</v>
      </c>
      <c r="E36" s="33">
        <v>117.02</v>
      </c>
      <c r="F36" s="33">
        <f>E36*VLOOKUP(B36,dagsoorttabel1,2,FALSE)</f>
        <v>90.015384615384619</v>
      </c>
      <c r="G36" s="36"/>
      <c r="H36" s="20" t="s">
        <v>40</v>
      </c>
      <c r="I36" s="24"/>
      <c r="J36" s="33">
        <f>IF(OR(ISBLANK(G36),G36=0),0,F36/ROUND(G36,4))</f>
        <v>0</v>
      </c>
      <c r="K36" s="35">
        <f>ROUND(I36,2)*J36</f>
        <v>0</v>
      </c>
      <c r="L36" s="33">
        <f>J36*dagenperjaar1</f>
        <v>0</v>
      </c>
      <c r="M36" s="35">
        <f>L36*ROUND(I36,2)</f>
        <v>0</v>
      </c>
    </row>
    <row r="37" spans="1:13" x14ac:dyDescent="0.2">
      <c r="A37" s="20" t="s">
        <v>179</v>
      </c>
      <c r="B37" s="20" t="s">
        <v>11</v>
      </c>
      <c r="C37" s="20" t="s">
        <v>175</v>
      </c>
      <c r="D37" s="20" t="s">
        <v>180</v>
      </c>
      <c r="E37" s="33">
        <v>24</v>
      </c>
      <c r="F37" s="33">
        <f>E37*VLOOKUP(B37,dagsoorttabel1,2,FALSE)</f>
        <v>18.461538461538463</v>
      </c>
      <c r="G37" s="36"/>
      <c r="H37" s="20" t="s">
        <v>40</v>
      </c>
      <c r="I37" s="24"/>
      <c r="J37" s="33">
        <f>IF(OR(ISBLANK(G37),G37=0),0,F37/ROUND(G37,4))</f>
        <v>0</v>
      </c>
      <c r="K37" s="35">
        <f>ROUND(I37,2)*J37</f>
        <v>0</v>
      </c>
      <c r="L37" s="33">
        <f>J37*dagenperjaar1</f>
        <v>0</v>
      </c>
      <c r="M37" s="35">
        <f>L37*ROUND(I37,2)</f>
        <v>0</v>
      </c>
    </row>
    <row r="38" spans="1:13" x14ac:dyDescent="0.2">
      <c r="A38" s="20" t="s">
        <v>181</v>
      </c>
      <c r="B38" s="20" t="s">
        <v>11</v>
      </c>
      <c r="C38" s="20" t="s">
        <v>175</v>
      </c>
      <c r="D38" s="20" t="s">
        <v>182</v>
      </c>
      <c r="E38" s="33">
        <v>547.6</v>
      </c>
      <c r="F38" s="33">
        <f>E38*VLOOKUP(B38,dagsoorttabel1,2,FALSE)</f>
        <v>421.23076923076928</v>
      </c>
      <c r="G38" s="36"/>
      <c r="H38" s="20" t="s">
        <v>40</v>
      </c>
      <c r="I38" s="24"/>
      <c r="J38" s="33">
        <f>IF(OR(ISBLANK(G38),G38=0),0,F38/ROUND(G38,4))</f>
        <v>0</v>
      </c>
      <c r="K38" s="35">
        <f>ROUND(I38,2)*J38</f>
        <v>0</v>
      </c>
      <c r="L38" s="33">
        <f>J38*dagenperjaar1</f>
        <v>0</v>
      </c>
      <c r="M38" s="35">
        <f>L38*ROUND(I38,2)</f>
        <v>0</v>
      </c>
    </row>
    <row r="39" spans="1:13" x14ac:dyDescent="0.2">
      <c r="A39" s="20" t="s">
        <v>181</v>
      </c>
      <c r="B39" s="20" t="s">
        <v>17</v>
      </c>
      <c r="C39" s="20" t="s">
        <v>175</v>
      </c>
      <c r="D39" s="20" t="s">
        <v>182</v>
      </c>
      <c r="E39" s="33">
        <v>152.5</v>
      </c>
      <c r="F39" s="33">
        <f>E39*VLOOKUP(B39,dagsoorttabel1,2,FALSE)</f>
        <v>46.923076923076927</v>
      </c>
      <c r="G39" s="36"/>
      <c r="H39" s="20" t="s">
        <v>40</v>
      </c>
      <c r="I39" s="24"/>
      <c r="J39" s="33">
        <f>IF(OR(ISBLANK(G39),G39=0),0,F39/ROUND(G39,4))</f>
        <v>0</v>
      </c>
      <c r="K39" s="35">
        <f>ROUND(I39,2)*J39</f>
        <v>0</v>
      </c>
      <c r="L39" s="33">
        <f>J39*dagenperjaar1</f>
        <v>0</v>
      </c>
      <c r="M39" s="35">
        <f>L39*ROUND(I39,2)</f>
        <v>0</v>
      </c>
    </row>
    <row r="40" spans="1:13" x14ac:dyDescent="0.2">
      <c r="A40" s="20" t="s">
        <v>183</v>
      </c>
      <c r="B40" s="20" t="s">
        <v>11</v>
      </c>
      <c r="C40" s="20" t="s">
        <v>175</v>
      </c>
      <c r="D40" s="20" t="s">
        <v>184</v>
      </c>
      <c r="E40" s="33">
        <v>143.30000000000001</v>
      </c>
      <c r="F40" s="33">
        <f>E40*VLOOKUP(B40,dagsoorttabel1,2,FALSE)</f>
        <v>110.23076923076924</v>
      </c>
      <c r="G40" s="36"/>
      <c r="H40" s="20" t="s">
        <v>40</v>
      </c>
      <c r="I40" s="24"/>
      <c r="J40" s="33">
        <f>IF(OR(ISBLANK(G40),G40=0),0,F40/ROUND(G40,4))</f>
        <v>0</v>
      </c>
      <c r="K40" s="35">
        <f>ROUND(I40,2)*J40</f>
        <v>0</v>
      </c>
      <c r="L40" s="33">
        <f>J40*dagenperjaar1</f>
        <v>0</v>
      </c>
      <c r="M40" s="35">
        <f>L40*ROUND(I40,2)</f>
        <v>0</v>
      </c>
    </row>
    <row r="41" spans="1:13" x14ac:dyDescent="0.2">
      <c r="A41" s="25" t="s">
        <v>185</v>
      </c>
      <c r="B41" s="25" t="s">
        <v>11</v>
      </c>
      <c r="C41" s="25" t="s">
        <v>175</v>
      </c>
      <c r="D41" s="25" t="s">
        <v>186</v>
      </c>
      <c r="E41" s="37">
        <v>4</v>
      </c>
      <c r="F41" s="37">
        <f>E41*VLOOKUP(B41,dagsoorttabel1,2,FALSE)</f>
        <v>3.0769230769230771</v>
      </c>
      <c r="G41" s="38"/>
      <c r="H41" s="25" t="s">
        <v>40</v>
      </c>
      <c r="I41" s="29"/>
      <c r="J41" s="37">
        <f>IF(OR(ISBLANK(G41),G41=0),0,F41/ROUND(G41,4))</f>
        <v>0</v>
      </c>
      <c r="K41" s="39">
        <f>ROUND(I41,2)*J41</f>
        <v>0</v>
      </c>
      <c r="L41" s="37">
        <f>J41*dagenperjaar1</f>
        <v>0</v>
      </c>
      <c r="M41" s="39">
        <f>L41*ROUND(I41,2)</f>
        <v>0</v>
      </c>
    </row>
    <row r="42" spans="1:13" x14ac:dyDescent="0.2">
      <c r="A42" s="40" t="s">
        <v>187</v>
      </c>
      <c r="B42" s="41"/>
      <c r="C42" s="41"/>
      <c r="D42" s="41"/>
      <c r="E42" s="41"/>
      <c r="F42" s="41"/>
      <c r="G42" s="41"/>
      <c r="H42" s="41"/>
      <c r="I42" s="41"/>
      <c r="J42" s="42">
        <f>SUM(J6:J41)</f>
        <v>0</v>
      </c>
      <c r="K42" s="43">
        <f>SUM(K6:K41)</f>
        <v>0</v>
      </c>
      <c r="L42" s="42">
        <f>SUM(L6:L41)</f>
        <v>0</v>
      </c>
      <c r="M42" s="44">
        <f>SUM(M6:M41)</f>
        <v>0</v>
      </c>
    </row>
    <row r="43" spans="1:13" x14ac:dyDescent="0.2">
      <c r="A43" s="45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6"/>
    </row>
    <row r="44" spans="1:13" x14ac:dyDescent="0.2">
      <c r="A44" s="40" t="s">
        <v>188</v>
      </c>
      <c r="B44" s="41"/>
      <c r="C44" s="41"/>
      <c r="D44" s="41"/>
      <c r="E44" s="41"/>
      <c r="F44" s="41"/>
      <c r="G44" s="41"/>
      <c r="H44" s="41"/>
      <c r="I44" s="43">
        <f>IF(urenjaar1&gt;0,SUMIF(L6:L41,"&gt;0",M6:M41)/urenjaar1,0)</f>
        <v>0</v>
      </c>
      <c r="J44" s="41"/>
      <c r="K44" s="41"/>
      <c r="L44" s="41"/>
      <c r="M44" s="46"/>
    </row>
    <row r="45" spans="1:13" x14ac:dyDescent="0.2">
      <c r="A45" s="45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6"/>
    </row>
    <row r="47" spans="1:13" x14ac:dyDescent="0.2">
      <c r="A47" s="40" t="s">
        <v>189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2">
        <f>urenjaar1</f>
        <v>0</v>
      </c>
      <c r="M47" s="43">
        <f>prijsjaar1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78A9-77BA-4F3D-B5FB-C3A0CB42CE49}">
  <dimension ref="A1:M41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3" width="12.625" customWidth="1"/>
  </cols>
  <sheetData>
    <row r="1" spans="1:13" x14ac:dyDescent="0.2">
      <c r="A1" s="1" t="s">
        <v>190</v>
      </c>
    </row>
    <row r="3" spans="1:13" x14ac:dyDescent="0.2">
      <c r="A3" s="47" t="s">
        <v>123</v>
      </c>
      <c r="B3" s="47" t="s">
        <v>7</v>
      </c>
      <c r="C3" s="47" t="s">
        <v>191</v>
      </c>
      <c r="D3" s="47" t="s">
        <v>192</v>
      </c>
      <c r="E3" s="47" t="s">
        <v>193</v>
      </c>
      <c r="F3" s="47" t="s">
        <v>194</v>
      </c>
      <c r="G3" s="47" t="s">
        <v>195</v>
      </c>
      <c r="H3" s="47" t="s">
        <v>196</v>
      </c>
      <c r="I3" s="47" t="s">
        <v>197</v>
      </c>
      <c r="J3" s="47" t="s">
        <v>198</v>
      </c>
      <c r="K3" s="47" t="s">
        <v>199</v>
      </c>
      <c r="L3" s="47" t="s">
        <v>200</v>
      </c>
      <c r="M3" s="47" t="s">
        <v>201</v>
      </c>
    </row>
    <row r="4" spans="1:13" x14ac:dyDescent="0.2">
      <c r="A4" s="48"/>
      <c r="B4" s="48"/>
      <c r="C4" s="48"/>
      <c r="D4" s="48"/>
      <c r="E4" s="48"/>
      <c r="F4" s="48"/>
      <c r="G4" s="48"/>
      <c r="H4" s="48"/>
      <c r="I4" s="49" t="s">
        <v>125</v>
      </c>
      <c r="J4" s="49" t="s">
        <v>125</v>
      </c>
      <c r="K4" s="49" t="s">
        <v>125</v>
      </c>
      <c r="L4" s="49" t="s">
        <v>125</v>
      </c>
      <c r="M4" s="49" t="s">
        <v>125</v>
      </c>
    </row>
    <row r="5" spans="1:13" x14ac:dyDescent="0.2">
      <c r="A5" s="15" t="s">
        <v>131</v>
      </c>
      <c r="B5" s="15" t="s">
        <v>11</v>
      </c>
      <c r="C5" s="15" t="s">
        <v>202</v>
      </c>
      <c r="D5" s="15" t="s">
        <v>132</v>
      </c>
      <c r="E5" s="30">
        <f>IF(B5="","",VLOOKUP(B5,dagsoorttabel1,2,FALSE))</f>
        <v>0.76923076923076927</v>
      </c>
      <c r="F5" s="30">
        <v>1</v>
      </c>
      <c r="G5" s="30">
        <f>IF(prodnorm10&gt;0,1/ROUND(prodnorm10,4),0)</f>
        <v>0</v>
      </c>
      <c r="H5" s="32">
        <f>ROUND(uurtarief10,2)</f>
        <v>0</v>
      </c>
      <c r="I5" s="30">
        <v>1010.3</v>
      </c>
      <c r="J5" s="30">
        <v>158</v>
      </c>
      <c r="K5" s="30">
        <v>0</v>
      </c>
      <c r="L5" s="30">
        <v>0</v>
      </c>
      <c r="M5" s="30">
        <v>186</v>
      </c>
    </row>
    <row r="6" spans="1:13" x14ac:dyDescent="0.2">
      <c r="A6" s="20" t="s">
        <v>134</v>
      </c>
      <c r="B6" s="20" t="s">
        <v>16</v>
      </c>
      <c r="C6" s="20" t="s">
        <v>202</v>
      </c>
      <c r="D6" s="20" t="s">
        <v>132</v>
      </c>
      <c r="E6" s="33">
        <f>IF(B6="","",VLOOKUP(B6,dagsoorttabel1,2,FALSE))</f>
        <v>0.38461538461538464</v>
      </c>
      <c r="F6" s="33">
        <v>1</v>
      </c>
      <c r="G6" s="33">
        <f>IF(prodnorm11&gt;0,1/ROUND(prodnorm11,4),0)</f>
        <v>0</v>
      </c>
      <c r="H6" s="35">
        <f>ROUND(uurtarief11,2)</f>
        <v>0</v>
      </c>
      <c r="I6" s="33">
        <v>494.04000000000008</v>
      </c>
      <c r="J6" s="33">
        <v>57.9</v>
      </c>
      <c r="K6" s="33">
        <v>127</v>
      </c>
      <c r="L6" s="33">
        <v>0</v>
      </c>
      <c r="M6" s="33">
        <v>39</v>
      </c>
    </row>
    <row r="7" spans="1:13" x14ac:dyDescent="0.2">
      <c r="A7" s="20" t="s">
        <v>134</v>
      </c>
      <c r="B7" s="20" t="s">
        <v>17</v>
      </c>
      <c r="C7" s="20" t="s">
        <v>202</v>
      </c>
      <c r="D7" s="20" t="s">
        <v>132</v>
      </c>
      <c r="E7" s="33">
        <f>IF(B7="","",VLOOKUP(B7,dagsoorttabel1,2,FALSE))</f>
        <v>0.30769230769230771</v>
      </c>
      <c r="F7" s="33">
        <v>1</v>
      </c>
      <c r="G7" s="33">
        <f>IF(prodnorm12&gt;0,1/ROUND(prodnorm12,4),0)</f>
        <v>0</v>
      </c>
      <c r="H7" s="35">
        <f>ROUND(uurtarief12,2)</f>
        <v>0</v>
      </c>
      <c r="I7" s="33">
        <v>0</v>
      </c>
      <c r="J7" s="33">
        <v>0</v>
      </c>
      <c r="K7" s="33">
        <v>0</v>
      </c>
      <c r="L7" s="33">
        <v>68.099999999999994</v>
      </c>
      <c r="M7" s="33">
        <v>0</v>
      </c>
    </row>
    <row r="8" spans="1:13" x14ac:dyDescent="0.2">
      <c r="A8" s="20" t="s">
        <v>136</v>
      </c>
      <c r="B8" s="20" t="s">
        <v>16</v>
      </c>
      <c r="C8" s="20" t="s">
        <v>202</v>
      </c>
      <c r="D8" s="20" t="s">
        <v>132</v>
      </c>
      <c r="E8" s="33">
        <f>IF(B8="","",VLOOKUP(B8,dagsoorttabel1,2,FALSE))</f>
        <v>0.38461538461538464</v>
      </c>
      <c r="F8" s="33">
        <v>1</v>
      </c>
      <c r="G8" s="33">
        <f>IF(prodnorm13&gt;0,1/ROUND(prodnorm13,4),0)</f>
        <v>0</v>
      </c>
      <c r="H8" s="35">
        <f>ROUND(uurtarief13,2)</f>
        <v>0</v>
      </c>
      <c r="I8" s="33">
        <v>1736.25</v>
      </c>
      <c r="J8" s="33">
        <v>280.40999999999997</v>
      </c>
      <c r="K8" s="33">
        <v>0</v>
      </c>
      <c r="L8" s="33">
        <v>0</v>
      </c>
      <c r="M8" s="33">
        <v>167</v>
      </c>
    </row>
    <row r="9" spans="1:13" x14ac:dyDescent="0.2">
      <c r="A9" s="20" t="s">
        <v>138</v>
      </c>
      <c r="B9" s="20" t="s">
        <v>11</v>
      </c>
      <c r="C9" s="20" t="s">
        <v>202</v>
      </c>
      <c r="D9" s="20" t="s">
        <v>132</v>
      </c>
      <c r="E9" s="33">
        <f>IF(B9="","",VLOOKUP(B9,dagsoorttabel1,2,FALSE))</f>
        <v>0.76923076923076927</v>
      </c>
      <c r="F9" s="33">
        <v>1</v>
      </c>
      <c r="G9" s="33">
        <f>IF(prodnorm14&gt;0,1/ROUND(prodnorm14,4),0)</f>
        <v>0</v>
      </c>
      <c r="H9" s="35">
        <f>ROUND(uurtarief14,2)</f>
        <v>0</v>
      </c>
      <c r="I9" s="33">
        <v>0</v>
      </c>
      <c r="J9" s="33">
        <v>42.5</v>
      </c>
      <c r="K9" s="33">
        <v>0</v>
      </c>
      <c r="L9" s="33">
        <v>0</v>
      </c>
      <c r="M9" s="33">
        <v>0</v>
      </c>
    </row>
    <row r="10" spans="1:13" x14ac:dyDescent="0.2">
      <c r="A10" s="20" t="s">
        <v>140</v>
      </c>
      <c r="B10" s="20" t="s">
        <v>17</v>
      </c>
      <c r="C10" s="20" t="s">
        <v>202</v>
      </c>
      <c r="D10" s="20" t="s">
        <v>132</v>
      </c>
      <c r="E10" s="33">
        <f>IF(B10="","",VLOOKUP(B10,dagsoorttabel1,2,FALSE))</f>
        <v>0.30769230769230771</v>
      </c>
      <c r="F10" s="33">
        <v>1</v>
      </c>
      <c r="G10" s="33">
        <f>IF(prodnorm15&gt;0,1/ROUND(prodnorm15,4),0)</f>
        <v>0</v>
      </c>
      <c r="H10" s="35">
        <f>ROUND(uurtarief15,2)</f>
        <v>0</v>
      </c>
      <c r="I10" s="33">
        <v>0</v>
      </c>
      <c r="J10" s="33">
        <v>0</v>
      </c>
      <c r="K10" s="33">
        <v>0</v>
      </c>
      <c r="L10" s="33">
        <v>2.5</v>
      </c>
      <c r="M10" s="33">
        <v>0</v>
      </c>
    </row>
    <row r="11" spans="1:13" x14ac:dyDescent="0.2">
      <c r="A11" s="20" t="s">
        <v>142</v>
      </c>
      <c r="B11" s="20" t="s">
        <v>11</v>
      </c>
      <c r="C11" s="20" t="s">
        <v>202</v>
      </c>
      <c r="D11" s="20" t="s">
        <v>132</v>
      </c>
      <c r="E11" s="33">
        <f>IF(B11="","",VLOOKUP(B11,dagsoorttabel1,2,FALSE))</f>
        <v>0.76923076923076927</v>
      </c>
      <c r="F11" s="33">
        <v>1</v>
      </c>
      <c r="G11" s="33">
        <f>IF(prodnorm16&gt;0,1/ROUND(prodnorm16,4),0)</f>
        <v>0</v>
      </c>
      <c r="H11" s="35">
        <f>ROUND(uurtarief16,2)</f>
        <v>0</v>
      </c>
      <c r="I11" s="33">
        <v>76</v>
      </c>
      <c r="J11" s="33">
        <v>0</v>
      </c>
      <c r="K11" s="33">
        <v>0</v>
      </c>
      <c r="L11" s="33">
        <v>0</v>
      </c>
      <c r="M11" s="33">
        <v>0</v>
      </c>
    </row>
    <row r="12" spans="1:13" x14ac:dyDescent="0.2">
      <c r="A12" s="20" t="s">
        <v>142</v>
      </c>
      <c r="B12" s="20" t="s">
        <v>17</v>
      </c>
      <c r="C12" s="20" t="s">
        <v>202</v>
      </c>
      <c r="D12" s="20" t="s">
        <v>132</v>
      </c>
      <c r="E12" s="33">
        <f>IF(B12="","",VLOOKUP(B12,dagsoorttabel1,2,FALSE))</f>
        <v>0.30769230769230771</v>
      </c>
      <c r="F12" s="33">
        <v>1</v>
      </c>
      <c r="G12" s="33">
        <f>IF(prodnorm17&gt;0,1/ROUND(prodnorm17,4),0)</f>
        <v>0</v>
      </c>
      <c r="H12" s="35">
        <f>ROUND(uurtarief17,2)</f>
        <v>0</v>
      </c>
      <c r="I12" s="33">
        <v>0</v>
      </c>
      <c r="J12" s="33">
        <v>0</v>
      </c>
      <c r="K12" s="33">
        <v>0</v>
      </c>
      <c r="L12" s="33">
        <v>11.8</v>
      </c>
      <c r="M12" s="33">
        <v>0</v>
      </c>
    </row>
    <row r="13" spans="1:13" x14ac:dyDescent="0.2">
      <c r="A13" s="20" t="s">
        <v>144</v>
      </c>
      <c r="B13" s="20" t="s">
        <v>11</v>
      </c>
      <c r="C13" s="20" t="s">
        <v>202</v>
      </c>
      <c r="D13" s="20" t="s">
        <v>132</v>
      </c>
      <c r="E13" s="33">
        <f>IF(B13="","",VLOOKUP(B13,dagsoorttabel1,2,FALSE))</f>
        <v>0.76923076923076927</v>
      </c>
      <c r="F13" s="33">
        <v>1</v>
      </c>
      <c r="G13" s="33">
        <f>IF(prodnorm18&gt;0,1/ROUND(prodnorm18,4),0)</f>
        <v>0</v>
      </c>
      <c r="H13" s="35">
        <f>ROUND(uurtarief18,2)</f>
        <v>0</v>
      </c>
      <c r="I13" s="33">
        <v>7.6000000000000005</v>
      </c>
      <c r="J13" s="33">
        <v>1.4</v>
      </c>
      <c r="K13" s="33">
        <v>0</v>
      </c>
      <c r="L13" s="33">
        <v>0</v>
      </c>
      <c r="M13" s="33">
        <v>0</v>
      </c>
    </row>
    <row r="14" spans="1:13" x14ac:dyDescent="0.2">
      <c r="A14" s="20" t="s">
        <v>146</v>
      </c>
      <c r="B14" s="20" t="s">
        <v>11</v>
      </c>
      <c r="C14" s="20" t="s">
        <v>202</v>
      </c>
      <c r="D14" s="20" t="s">
        <v>132</v>
      </c>
      <c r="E14" s="33">
        <f>IF(B14="","",VLOOKUP(B14,dagsoorttabel1,2,FALSE))</f>
        <v>0.76923076923076927</v>
      </c>
      <c r="F14" s="33">
        <v>1</v>
      </c>
      <c r="G14" s="33">
        <f>IF(prodnorm19&gt;0,1/ROUND(prodnorm19,4),0)</f>
        <v>0</v>
      </c>
      <c r="H14" s="35">
        <f>ROUND(uurtarief19,2)</f>
        <v>0</v>
      </c>
      <c r="I14" s="33">
        <v>1282.28</v>
      </c>
      <c r="J14" s="33">
        <v>740.6</v>
      </c>
      <c r="K14" s="33">
        <v>405</v>
      </c>
      <c r="L14" s="33">
        <v>0</v>
      </c>
      <c r="M14" s="33">
        <v>0</v>
      </c>
    </row>
    <row r="15" spans="1:13" x14ac:dyDescent="0.2">
      <c r="A15" s="20" t="s">
        <v>146</v>
      </c>
      <c r="B15" s="20" t="s">
        <v>17</v>
      </c>
      <c r="C15" s="20" t="s">
        <v>202</v>
      </c>
      <c r="D15" s="20" t="s">
        <v>132</v>
      </c>
      <c r="E15" s="33">
        <f>IF(B15="","",VLOOKUP(B15,dagsoorttabel1,2,FALSE))</f>
        <v>0.30769230769230771</v>
      </c>
      <c r="F15" s="33">
        <v>1</v>
      </c>
      <c r="G15" s="33">
        <f>IF(prodnorm20&gt;0,1/ROUND(prodnorm20,4),0)</f>
        <v>0</v>
      </c>
      <c r="H15" s="35">
        <f>ROUND(uurtarief20,2)</f>
        <v>0</v>
      </c>
      <c r="I15" s="33">
        <v>0</v>
      </c>
      <c r="J15" s="33">
        <v>0</v>
      </c>
      <c r="K15" s="33">
        <v>0</v>
      </c>
      <c r="L15" s="33">
        <v>171.5</v>
      </c>
      <c r="M15" s="33">
        <v>0</v>
      </c>
    </row>
    <row r="16" spans="1:13" x14ac:dyDescent="0.2">
      <c r="A16" s="20" t="s">
        <v>148</v>
      </c>
      <c r="B16" s="20" t="s">
        <v>11</v>
      </c>
      <c r="C16" s="20" t="s">
        <v>202</v>
      </c>
      <c r="D16" s="20" t="s">
        <v>132</v>
      </c>
      <c r="E16" s="33">
        <f>IF(B16="","",VLOOKUP(B16,dagsoorttabel1,2,FALSE))</f>
        <v>0.76923076923076927</v>
      </c>
      <c r="F16" s="33">
        <v>1</v>
      </c>
      <c r="G16" s="33">
        <f>IF(prodnorm21&gt;0,1/ROUND(prodnorm21,4),0)</f>
        <v>0</v>
      </c>
      <c r="H16" s="35">
        <f>ROUND(uurtarief21,2)</f>
        <v>0</v>
      </c>
      <c r="I16" s="33">
        <v>3431.54</v>
      </c>
      <c r="J16" s="33">
        <v>549.20000000000005</v>
      </c>
      <c r="K16" s="33">
        <v>49</v>
      </c>
      <c r="L16" s="33">
        <v>0</v>
      </c>
      <c r="M16" s="33">
        <v>329</v>
      </c>
    </row>
    <row r="17" spans="1:13" x14ac:dyDescent="0.2">
      <c r="A17" s="20" t="s">
        <v>150</v>
      </c>
      <c r="B17" s="20" t="s">
        <v>19</v>
      </c>
      <c r="C17" s="20" t="s">
        <v>202</v>
      </c>
      <c r="D17" s="20" t="s">
        <v>132</v>
      </c>
      <c r="E17" s="33">
        <f>IF(B17="","",VLOOKUP(B17,dagsoorttabel1,2,FALSE))</f>
        <v>0.15384615384615385</v>
      </c>
      <c r="F17" s="33">
        <v>1</v>
      </c>
      <c r="G17" s="33">
        <f>IF(prodnorm22&gt;0,1/ROUND(prodnorm22,4),0)</f>
        <v>0</v>
      </c>
      <c r="H17" s="35">
        <f>ROUND(uurtarief22,2)</f>
        <v>0</v>
      </c>
      <c r="I17" s="33">
        <v>0</v>
      </c>
      <c r="J17" s="33">
        <v>32.400000000000006</v>
      </c>
      <c r="K17" s="33">
        <v>0</v>
      </c>
      <c r="L17" s="33">
        <v>0</v>
      </c>
      <c r="M17" s="33">
        <v>0</v>
      </c>
    </row>
    <row r="18" spans="1:13" x14ac:dyDescent="0.2">
      <c r="A18" s="20" t="s">
        <v>152</v>
      </c>
      <c r="B18" s="20" t="s">
        <v>11</v>
      </c>
      <c r="C18" s="20" t="s">
        <v>202</v>
      </c>
      <c r="D18" s="20" t="s">
        <v>132</v>
      </c>
      <c r="E18" s="33">
        <f>IF(B18="","",VLOOKUP(B18,dagsoorttabel1,2,FALSE))</f>
        <v>0.76923076923076927</v>
      </c>
      <c r="F18" s="33">
        <v>1</v>
      </c>
      <c r="G18" s="33">
        <f>IF(prodnorm23&gt;0,1/ROUND(prodnorm23,4),0)</f>
        <v>0</v>
      </c>
      <c r="H18" s="35">
        <f>ROUND(uurtarief23,2)</f>
        <v>0</v>
      </c>
      <c r="I18" s="33">
        <v>16.239999999999998</v>
      </c>
      <c r="J18" s="33">
        <v>20.399999999999999</v>
      </c>
      <c r="K18" s="33">
        <v>0</v>
      </c>
      <c r="L18" s="33">
        <v>0</v>
      </c>
      <c r="M18" s="33">
        <v>0</v>
      </c>
    </row>
    <row r="19" spans="1:13" x14ac:dyDescent="0.2">
      <c r="A19" s="20" t="s">
        <v>152</v>
      </c>
      <c r="B19" s="20" t="s">
        <v>17</v>
      </c>
      <c r="C19" s="20" t="s">
        <v>202</v>
      </c>
      <c r="D19" s="20" t="s">
        <v>132</v>
      </c>
      <c r="E19" s="33">
        <f>IF(B19="","",VLOOKUP(B19,dagsoorttabel1,2,FALSE))</f>
        <v>0.30769230769230771</v>
      </c>
      <c r="F19" s="33">
        <v>1</v>
      </c>
      <c r="G19" s="33">
        <f>IF(prodnorm24&gt;0,1/ROUND(prodnorm24,4),0)</f>
        <v>0</v>
      </c>
      <c r="H19" s="35">
        <f>ROUND(uurtarief24,2)</f>
        <v>0</v>
      </c>
      <c r="I19" s="33">
        <v>0</v>
      </c>
      <c r="J19" s="33">
        <v>0</v>
      </c>
      <c r="K19" s="33">
        <v>0</v>
      </c>
      <c r="L19" s="33">
        <v>7.4</v>
      </c>
      <c r="M19" s="33">
        <v>0</v>
      </c>
    </row>
    <row r="20" spans="1:13" x14ac:dyDescent="0.2">
      <c r="A20" s="20" t="s">
        <v>154</v>
      </c>
      <c r="B20" s="20" t="s">
        <v>11</v>
      </c>
      <c r="C20" s="20" t="s">
        <v>202</v>
      </c>
      <c r="D20" s="20" t="s">
        <v>132</v>
      </c>
      <c r="E20" s="33">
        <f>IF(B20="","",VLOOKUP(B20,dagsoorttabel1,2,FALSE))</f>
        <v>0.76923076923076927</v>
      </c>
      <c r="F20" s="33">
        <v>1</v>
      </c>
      <c r="G20" s="33">
        <f>IF(prodnorm25&gt;0,1/ROUND(prodnorm25,4),0)</f>
        <v>0</v>
      </c>
      <c r="H20" s="35">
        <f>ROUND(uurtarief25,2)</f>
        <v>0</v>
      </c>
      <c r="I20" s="33">
        <v>160.95000000000002</v>
      </c>
      <c r="J20" s="33">
        <v>0</v>
      </c>
      <c r="K20" s="33">
        <v>0</v>
      </c>
      <c r="L20" s="33">
        <v>0</v>
      </c>
      <c r="M20" s="33">
        <v>0</v>
      </c>
    </row>
    <row r="21" spans="1:13" x14ac:dyDescent="0.2">
      <c r="A21" s="20" t="s">
        <v>156</v>
      </c>
      <c r="B21" s="20" t="s">
        <v>11</v>
      </c>
      <c r="C21" s="20" t="s">
        <v>202</v>
      </c>
      <c r="D21" s="20" t="s">
        <v>132</v>
      </c>
      <c r="E21" s="33">
        <f>IF(B21="","",VLOOKUP(B21,dagsoorttabel1,2,FALSE))</f>
        <v>0.76923076923076927</v>
      </c>
      <c r="F21" s="33">
        <v>1</v>
      </c>
      <c r="G21" s="33">
        <f>IF(prodnorm26&gt;0,1/ROUND(prodnorm26,4),0)</f>
        <v>0</v>
      </c>
      <c r="H21" s="35">
        <f>ROUND(uurtarief26,2)</f>
        <v>0</v>
      </c>
      <c r="I21" s="33">
        <v>105.38</v>
      </c>
      <c r="J21" s="33">
        <v>0</v>
      </c>
      <c r="K21" s="33">
        <v>0</v>
      </c>
      <c r="L21" s="33">
        <v>0</v>
      </c>
      <c r="M21" s="33">
        <v>0</v>
      </c>
    </row>
    <row r="22" spans="1:13" x14ac:dyDescent="0.2">
      <c r="A22" s="20" t="s">
        <v>158</v>
      </c>
      <c r="B22" s="20" t="s">
        <v>11</v>
      </c>
      <c r="C22" s="20" t="s">
        <v>202</v>
      </c>
      <c r="D22" s="20" t="s">
        <v>132</v>
      </c>
      <c r="E22" s="33">
        <f>IF(B22="","",VLOOKUP(B22,dagsoorttabel1,2,FALSE))</f>
        <v>0.76923076923076927</v>
      </c>
      <c r="F22" s="33">
        <v>1</v>
      </c>
      <c r="G22" s="33">
        <f>IF(prodnorm27&gt;0,1/ROUND(prodnorm27,4),0)</f>
        <v>0</v>
      </c>
      <c r="H22" s="35">
        <f>ROUND(uurtarief27,2)</f>
        <v>0</v>
      </c>
      <c r="I22" s="33">
        <v>74</v>
      </c>
      <c r="J22" s="33">
        <v>133.69999999999999</v>
      </c>
      <c r="K22" s="33">
        <v>0</v>
      </c>
      <c r="L22" s="33">
        <v>0</v>
      </c>
      <c r="M22" s="33">
        <v>0</v>
      </c>
    </row>
    <row r="23" spans="1:13" x14ac:dyDescent="0.2">
      <c r="A23" s="20" t="s">
        <v>158</v>
      </c>
      <c r="B23" s="20" t="s">
        <v>19</v>
      </c>
      <c r="C23" s="20" t="s">
        <v>202</v>
      </c>
      <c r="D23" s="20" t="s">
        <v>132</v>
      </c>
      <c r="E23" s="33">
        <f>IF(B23="","",VLOOKUP(B23,dagsoorttabel1,2,FALSE))</f>
        <v>0.15384615384615385</v>
      </c>
      <c r="F23" s="33">
        <v>1</v>
      </c>
      <c r="G23" s="33">
        <f>IF(prodnorm28&gt;0,1/ROUND(prodnorm28,4),0)</f>
        <v>0</v>
      </c>
      <c r="H23" s="35">
        <f>ROUND(uurtarief28,2)</f>
        <v>0</v>
      </c>
      <c r="I23" s="33">
        <v>0</v>
      </c>
      <c r="J23" s="33">
        <v>11.7</v>
      </c>
      <c r="K23" s="33">
        <v>0</v>
      </c>
      <c r="L23" s="33">
        <v>0</v>
      </c>
      <c r="M23" s="33">
        <v>0</v>
      </c>
    </row>
    <row r="24" spans="1:13" x14ac:dyDescent="0.2">
      <c r="A24" s="20" t="s">
        <v>160</v>
      </c>
      <c r="B24" s="20" t="s">
        <v>11</v>
      </c>
      <c r="C24" s="20" t="s">
        <v>202</v>
      </c>
      <c r="D24" s="20" t="s">
        <v>132</v>
      </c>
      <c r="E24" s="33">
        <f>IF(B24="","",VLOOKUP(B24,dagsoorttabel1,2,FALSE))</f>
        <v>0.76923076923076927</v>
      </c>
      <c r="F24" s="33">
        <v>1</v>
      </c>
      <c r="G24" s="33">
        <f>IF(prodnorm29&gt;0,1/ROUND(prodnorm29,4),0)</f>
        <v>0</v>
      </c>
      <c r="H24" s="35">
        <f>ROUND(uurtarief29,2)</f>
        <v>0</v>
      </c>
      <c r="I24" s="33">
        <v>93</v>
      </c>
      <c r="J24" s="33">
        <v>0</v>
      </c>
      <c r="K24" s="33">
        <v>0</v>
      </c>
      <c r="L24" s="33">
        <v>0</v>
      </c>
      <c r="M24" s="33">
        <v>0</v>
      </c>
    </row>
    <row r="25" spans="1:13" x14ac:dyDescent="0.2">
      <c r="A25" s="20" t="s">
        <v>162</v>
      </c>
      <c r="B25" s="20" t="s">
        <v>11</v>
      </c>
      <c r="C25" s="20" t="s">
        <v>202</v>
      </c>
      <c r="D25" s="20" t="s">
        <v>132</v>
      </c>
      <c r="E25" s="33">
        <f>IF(B25="","",VLOOKUP(B25,dagsoorttabel1,2,FALSE))</f>
        <v>0.76923076923076927</v>
      </c>
      <c r="F25" s="33">
        <v>1</v>
      </c>
      <c r="G25" s="33">
        <f>IF(prodnorm30&gt;0,1/ROUND(prodnorm30,4),0)</f>
        <v>0</v>
      </c>
      <c r="H25" s="35">
        <f>ROUND(uurtarief30,2)</f>
        <v>0</v>
      </c>
      <c r="I25" s="33">
        <v>347.53</v>
      </c>
      <c r="J25" s="33">
        <v>98</v>
      </c>
      <c r="K25" s="33">
        <v>53</v>
      </c>
      <c r="L25" s="33">
        <v>0</v>
      </c>
      <c r="M25" s="33">
        <v>30.6</v>
      </c>
    </row>
    <row r="26" spans="1:13" x14ac:dyDescent="0.2">
      <c r="A26" s="20" t="s">
        <v>162</v>
      </c>
      <c r="B26" s="20" t="s">
        <v>17</v>
      </c>
      <c r="C26" s="20" t="s">
        <v>202</v>
      </c>
      <c r="D26" s="20" t="s">
        <v>132</v>
      </c>
      <c r="E26" s="33">
        <f>IF(B26="","",VLOOKUP(B26,dagsoorttabel1,2,FALSE))</f>
        <v>0.30769230769230771</v>
      </c>
      <c r="F26" s="33">
        <v>1</v>
      </c>
      <c r="G26" s="33">
        <f>IF(prodnorm31&gt;0,1/ROUND(prodnorm31,4),0)</f>
        <v>0</v>
      </c>
      <c r="H26" s="35">
        <f>ROUND(uurtarief31,2)</f>
        <v>0</v>
      </c>
      <c r="I26" s="33">
        <v>0</v>
      </c>
      <c r="J26" s="33">
        <v>0</v>
      </c>
      <c r="K26" s="33">
        <v>0</v>
      </c>
      <c r="L26" s="33">
        <v>39</v>
      </c>
      <c r="M26" s="33">
        <v>0</v>
      </c>
    </row>
    <row r="27" spans="1:13" x14ac:dyDescent="0.2">
      <c r="A27" s="20" t="s">
        <v>164</v>
      </c>
      <c r="B27" s="20" t="s">
        <v>11</v>
      </c>
      <c r="C27" s="20" t="s">
        <v>202</v>
      </c>
      <c r="D27" s="20" t="s">
        <v>132</v>
      </c>
      <c r="E27" s="33">
        <f>IF(B27="","",VLOOKUP(B27,dagsoorttabel1,2,FALSE))</f>
        <v>0.76923076923076927</v>
      </c>
      <c r="F27" s="33">
        <v>1</v>
      </c>
      <c r="G27" s="33">
        <f>IF(prodnorm32&gt;0,1/ROUND(prodnorm32,4),0)</f>
        <v>0</v>
      </c>
      <c r="H27" s="35">
        <f>ROUND(uurtarief32,2)</f>
        <v>0</v>
      </c>
      <c r="I27" s="33">
        <v>347.53</v>
      </c>
      <c r="J27" s="33">
        <v>0</v>
      </c>
      <c r="K27" s="33">
        <v>0</v>
      </c>
      <c r="L27" s="33">
        <v>0</v>
      </c>
      <c r="M27" s="33">
        <v>0</v>
      </c>
    </row>
    <row r="28" spans="1:13" x14ac:dyDescent="0.2">
      <c r="A28" s="20" t="s">
        <v>166</v>
      </c>
      <c r="B28" s="20" t="s">
        <v>11</v>
      </c>
      <c r="C28" s="20" t="s">
        <v>202</v>
      </c>
      <c r="D28" s="20" t="s">
        <v>132</v>
      </c>
      <c r="E28" s="33">
        <f>IF(B28="","",VLOOKUP(B28,dagsoorttabel1,2,FALSE))</f>
        <v>0.76923076923076927</v>
      </c>
      <c r="F28" s="33">
        <v>1</v>
      </c>
      <c r="G28" s="33">
        <f>IF(prodnorm33&gt;0,1/ROUND(prodnorm33,4),0)</f>
        <v>0</v>
      </c>
      <c r="H28" s="35">
        <f>ROUND(uurtarief33,2)</f>
        <v>0</v>
      </c>
      <c r="I28" s="33">
        <v>374</v>
      </c>
      <c r="J28" s="33">
        <v>192</v>
      </c>
      <c r="K28" s="33">
        <v>24</v>
      </c>
      <c r="L28" s="33">
        <v>0</v>
      </c>
      <c r="M28" s="33">
        <v>20</v>
      </c>
    </row>
    <row r="29" spans="1:13" x14ac:dyDescent="0.2">
      <c r="A29" s="20" t="s">
        <v>166</v>
      </c>
      <c r="B29" s="20" t="s">
        <v>17</v>
      </c>
      <c r="C29" s="20" t="s">
        <v>202</v>
      </c>
      <c r="D29" s="20" t="s">
        <v>132</v>
      </c>
      <c r="E29" s="33">
        <f>IF(B29="","",VLOOKUP(B29,dagsoorttabel1,2,FALSE))</f>
        <v>0.30769230769230771</v>
      </c>
      <c r="F29" s="33">
        <v>1</v>
      </c>
      <c r="G29" s="33">
        <f>IF(prodnorm34&gt;0,1/ROUND(prodnorm34,4),0)</f>
        <v>0</v>
      </c>
      <c r="H29" s="35">
        <f>ROUND(uurtarief34,2)</f>
        <v>0</v>
      </c>
      <c r="I29" s="33">
        <v>0</v>
      </c>
      <c r="J29" s="33">
        <v>0</v>
      </c>
      <c r="K29" s="33">
        <v>0</v>
      </c>
      <c r="L29" s="33">
        <v>20</v>
      </c>
      <c r="M29" s="33">
        <v>0</v>
      </c>
    </row>
    <row r="30" spans="1:13" x14ac:dyDescent="0.2">
      <c r="A30" s="20" t="s">
        <v>168</v>
      </c>
      <c r="B30" s="20" t="s">
        <v>11</v>
      </c>
      <c r="C30" s="20" t="s">
        <v>202</v>
      </c>
      <c r="D30" s="20" t="s">
        <v>132</v>
      </c>
      <c r="E30" s="33">
        <f>IF(B30="","",VLOOKUP(B30,dagsoorttabel1,2,FALSE))</f>
        <v>0.76923076923076927</v>
      </c>
      <c r="F30" s="33">
        <v>1</v>
      </c>
      <c r="G30" s="33">
        <f>IF(prodnorm35&gt;0,1/ROUND(prodnorm35,4),0)</f>
        <v>0</v>
      </c>
      <c r="H30" s="35">
        <f>ROUND(uurtarief35,2)</f>
        <v>0</v>
      </c>
      <c r="I30" s="33">
        <v>2759.38</v>
      </c>
      <c r="J30" s="33">
        <v>768.59999999999991</v>
      </c>
      <c r="K30" s="33">
        <v>307</v>
      </c>
      <c r="L30" s="33">
        <v>0</v>
      </c>
      <c r="M30" s="33">
        <v>222.25</v>
      </c>
    </row>
    <row r="31" spans="1:13" x14ac:dyDescent="0.2">
      <c r="A31" s="20" t="s">
        <v>168</v>
      </c>
      <c r="B31" s="20" t="s">
        <v>17</v>
      </c>
      <c r="C31" s="20" t="s">
        <v>202</v>
      </c>
      <c r="D31" s="20" t="s">
        <v>132</v>
      </c>
      <c r="E31" s="33">
        <f>IF(B31="","",VLOOKUP(B31,dagsoorttabel1,2,FALSE))</f>
        <v>0.30769230769230771</v>
      </c>
      <c r="F31" s="33">
        <v>1</v>
      </c>
      <c r="G31" s="33">
        <f>IF(prodnorm36&gt;0,1/ROUND(prodnorm36,4),0)</f>
        <v>0</v>
      </c>
      <c r="H31" s="35">
        <f>ROUND(uurtarief36,2)</f>
        <v>0</v>
      </c>
      <c r="I31" s="33">
        <v>0</v>
      </c>
      <c r="J31" s="33">
        <v>0</v>
      </c>
      <c r="K31" s="33">
        <v>0</v>
      </c>
      <c r="L31" s="33">
        <v>35.799999999999997</v>
      </c>
      <c r="M31" s="33">
        <v>0</v>
      </c>
    </row>
    <row r="32" spans="1:13" x14ac:dyDescent="0.2">
      <c r="A32" s="20" t="s">
        <v>170</v>
      </c>
      <c r="B32" s="20" t="s">
        <v>11</v>
      </c>
      <c r="C32" s="20" t="s">
        <v>202</v>
      </c>
      <c r="D32" s="20" t="s">
        <v>132</v>
      </c>
      <c r="E32" s="33">
        <f>IF(B32="","",VLOOKUP(B32,dagsoorttabel1,2,FALSE))</f>
        <v>0.76923076923076927</v>
      </c>
      <c r="F32" s="33">
        <v>1</v>
      </c>
      <c r="G32" s="33">
        <f>IF(prodnorm37&gt;0,1/ROUND(prodnorm37,4),0)</f>
        <v>0</v>
      </c>
      <c r="H32" s="35">
        <f>ROUND(uurtarief37,2)</f>
        <v>0</v>
      </c>
      <c r="I32" s="33">
        <v>1070.06</v>
      </c>
      <c r="J32" s="33">
        <v>0</v>
      </c>
      <c r="K32" s="33">
        <v>0</v>
      </c>
      <c r="L32" s="33">
        <v>0</v>
      </c>
      <c r="M32" s="33">
        <v>31.799999999999997</v>
      </c>
    </row>
    <row r="33" spans="1:13" x14ac:dyDescent="0.2">
      <c r="A33" s="20" t="s">
        <v>172</v>
      </c>
      <c r="B33" s="20" t="s">
        <v>27</v>
      </c>
      <c r="C33" s="20" t="s">
        <v>202</v>
      </c>
      <c r="D33" s="20" t="s">
        <v>132</v>
      </c>
      <c r="E33" s="33">
        <f>IF(B33="","",VLOOKUP(B33,dagsoorttabel1,2,FALSE))</f>
        <v>3.8461538461538464E-3</v>
      </c>
      <c r="F33" s="33">
        <v>1</v>
      </c>
      <c r="G33" s="33">
        <f>IF(prodnorm38&gt;0,1/ROUND(prodnorm38,4),0)</f>
        <v>0</v>
      </c>
      <c r="H33" s="35">
        <f>ROUND(uurtarief38,2)</f>
        <v>0</v>
      </c>
      <c r="I33" s="33">
        <v>3894.59</v>
      </c>
      <c r="J33" s="33">
        <v>1159.5</v>
      </c>
      <c r="K33" s="33">
        <v>0</v>
      </c>
      <c r="L33" s="33">
        <v>169.6</v>
      </c>
      <c r="M33" s="33">
        <v>140.80000000000001</v>
      </c>
    </row>
    <row r="34" spans="1:13" x14ac:dyDescent="0.2">
      <c r="A34" s="20" t="s">
        <v>174</v>
      </c>
      <c r="B34" s="20" t="s">
        <v>11</v>
      </c>
      <c r="C34" s="20" t="s">
        <v>202</v>
      </c>
      <c r="D34" s="20" t="s">
        <v>175</v>
      </c>
      <c r="E34" s="33">
        <f>IF(B34="","",VLOOKUP(B34,dagsoorttabel1,2,FALSE))</f>
        <v>0.76923076923076927</v>
      </c>
      <c r="F34" s="33">
        <v>1</v>
      </c>
      <c r="G34" s="33">
        <f>IF(prodnorm3&gt;0,1/ROUND(prodnorm3,4),0)</f>
        <v>0</v>
      </c>
      <c r="H34" s="35">
        <f>ROUND(uurtarief3,2)</f>
        <v>0</v>
      </c>
      <c r="I34" s="33">
        <v>157</v>
      </c>
      <c r="J34" s="33">
        <v>0</v>
      </c>
      <c r="K34" s="33">
        <v>0</v>
      </c>
      <c r="L34" s="33">
        <v>0</v>
      </c>
      <c r="M34" s="33">
        <v>0</v>
      </c>
    </row>
    <row r="35" spans="1:13" x14ac:dyDescent="0.2">
      <c r="A35" s="20" t="s">
        <v>177</v>
      </c>
      <c r="B35" s="20" t="s">
        <v>11</v>
      </c>
      <c r="C35" s="20" t="s">
        <v>202</v>
      </c>
      <c r="D35" s="20" t="s">
        <v>175</v>
      </c>
      <c r="E35" s="33">
        <f>IF(B35="","",VLOOKUP(B35,dagsoorttabel1,2,FALSE))</f>
        <v>0.76923076923076927</v>
      </c>
      <c r="F35" s="33">
        <v>1</v>
      </c>
      <c r="G35" s="33">
        <f>IF(prodnorm4&gt;0,1/ROUND(prodnorm4,4),0)</f>
        <v>0</v>
      </c>
      <c r="H35" s="35">
        <f>ROUND(uurtarief4,2)</f>
        <v>0</v>
      </c>
      <c r="I35" s="33">
        <v>66.819999999999993</v>
      </c>
      <c r="J35" s="33">
        <v>50.2</v>
      </c>
      <c r="K35" s="33">
        <v>0</v>
      </c>
      <c r="L35" s="33">
        <v>0</v>
      </c>
      <c r="M35" s="33">
        <v>0</v>
      </c>
    </row>
    <row r="36" spans="1:13" x14ac:dyDescent="0.2">
      <c r="A36" s="20" t="s">
        <v>179</v>
      </c>
      <c r="B36" s="20" t="s">
        <v>11</v>
      </c>
      <c r="C36" s="20" t="s">
        <v>202</v>
      </c>
      <c r="D36" s="20" t="s">
        <v>175</v>
      </c>
      <c r="E36" s="33">
        <f>IF(B36="","",VLOOKUP(B36,dagsoorttabel1,2,FALSE))</f>
        <v>0.76923076923076927</v>
      </c>
      <c r="F36" s="33">
        <v>1</v>
      </c>
      <c r="G36" s="33">
        <f>IF(prodnorm5&gt;0,1/ROUND(prodnorm5,4),0)</f>
        <v>0</v>
      </c>
      <c r="H36" s="35">
        <f>ROUND(uurtarief5,2)</f>
        <v>0</v>
      </c>
      <c r="I36" s="33">
        <v>18</v>
      </c>
      <c r="J36" s="33">
        <v>0</v>
      </c>
      <c r="K36" s="33">
        <v>0</v>
      </c>
      <c r="L36" s="33">
        <v>0</v>
      </c>
      <c r="M36" s="33">
        <v>6</v>
      </c>
    </row>
    <row r="37" spans="1:13" x14ac:dyDescent="0.2">
      <c r="A37" s="20" t="s">
        <v>181</v>
      </c>
      <c r="B37" s="20" t="s">
        <v>11</v>
      </c>
      <c r="C37" s="20" t="s">
        <v>202</v>
      </c>
      <c r="D37" s="20" t="s">
        <v>175</v>
      </c>
      <c r="E37" s="33">
        <f>IF(B37="","",VLOOKUP(B37,dagsoorttabel1,2,FALSE))</f>
        <v>0.76923076923076927</v>
      </c>
      <c r="F37" s="33">
        <v>1</v>
      </c>
      <c r="G37" s="33">
        <f>IF(prodnorm6&gt;0,1/ROUND(prodnorm6,4),0)</f>
        <v>0</v>
      </c>
      <c r="H37" s="35">
        <f>ROUND(uurtarief6,2)</f>
        <v>0</v>
      </c>
      <c r="I37" s="33">
        <v>394</v>
      </c>
      <c r="J37" s="33">
        <v>76.599999999999994</v>
      </c>
      <c r="K37" s="33">
        <v>0</v>
      </c>
      <c r="L37" s="33">
        <v>0</v>
      </c>
      <c r="M37" s="33">
        <v>77</v>
      </c>
    </row>
    <row r="38" spans="1:13" x14ac:dyDescent="0.2">
      <c r="A38" s="20" t="s">
        <v>181</v>
      </c>
      <c r="B38" s="20" t="s">
        <v>17</v>
      </c>
      <c r="C38" s="20" t="s">
        <v>202</v>
      </c>
      <c r="D38" s="20" t="s">
        <v>175</v>
      </c>
      <c r="E38" s="33">
        <f>IF(B38="","",VLOOKUP(B38,dagsoorttabel1,2,FALSE))</f>
        <v>0.30769230769230771</v>
      </c>
      <c r="F38" s="33">
        <v>1</v>
      </c>
      <c r="G38" s="33">
        <f>IF(prodnorm7&gt;0,1/ROUND(prodnorm7,4),0)</f>
        <v>0</v>
      </c>
      <c r="H38" s="35">
        <f>ROUND(uurtarief7,2)</f>
        <v>0</v>
      </c>
      <c r="I38" s="33">
        <v>0</v>
      </c>
      <c r="J38" s="33">
        <v>0</v>
      </c>
      <c r="K38" s="33">
        <v>0</v>
      </c>
      <c r="L38" s="33">
        <v>17.5</v>
      </c>
      <c r="M38" s="33">
        <v>135</v>
      </c>
    </row>
    <row r="39" spans="1:13" x14ac:dyDescent="0.2">
      <c r="A39" s="20" t="s">
        <v>183</v>
      </c>
      <c r="B39" s="20" t="s">
        <v>11</v>
      </c>
      <c r="C39" s="20" t="s">
        <v>202</v>
      </c>
      <c r="D39" s="20" t="s">
        <v>175</v>
      </c>
      <c r="E39" s="33">
        <f>IF(B39="","",VLOOKUP(B39,dagsoorttabel1,2,FALSE))</f>
        <v>0.76923076923076927</v>
      </c>
      <c r="F39" s="33">
        <v>1</v>
      </c>
      <c r="G39" s="33">
        <f>IF(prodnorm8&gt;0,1/ROUND(prodnorm8,4),0)</f>
        <v>0</v>
      </c>
      <c r="H39" s="35">
        <f>ROUND(uurtarief8,2)</f>
        <v>0</v>
      </c>
      <c r="I39" s="33">
        <v>0</v>
      </c>
      <c r="J39" s="33">
        <v>143.30000000000001</v>
      </c>
      <c r="K39" s="33">
        <v>0</v>
      </c>
      <c r="L39" s="33">
        <v>0</v>
      </c>
      <c r="M39" s="33">
        <v>0</v>
      </c>
    </row>
    <row r="40" spans="1:13" x14ac:dyDescent="0.2">
      <c r="A40" s="25" t="s">
        <v>185</v>
      </c>
      <c r="B40" s="25" t="s">
        <v>11</v>
      </c>
      <c r="C40" s="25" t="s">
        <v>202</v>
      </c>
      <c r="D40" s="25" t="s">
        <v>175</v>
      </c>
      <c r="E40" s="37">
        <f>IF(B40="","",VLOOKUP(B40,dagsoorttabel1,2,FALSE))</f>
        <v>0.76923076923076927</v>
      </c>
      <c r="F40" s="37">
        <v>1</v>
      </c>
      <c r="G40" s="37">
        <f>IF(prodnorm9&gt;0,1/ROUND(prodnorm9,4),0)</f>
        <v>0</v>
      </c>
      <c r="H40" s="39">
        <f>ROUND(uurtarief9,2)</f>
        <v>0</v>
      </c>
      <c r="I40" s="37">
        <v>4</v>
      </c>
      <c r="J40" s="37">
        <v>0</v>
      </c>
      <c r="K40" s="37">
        <v>0</v>
      </c>
      <c r="L40" s="37">
        <v>0</v>
      </c>
      <c r="M40" s="37">
        <v>0</v>
      </c>
    </row>
    <row r="41" spans="1:13" x14ac:dyDescent="0.2">
      <c r="A41" s="40" t="s">
        <v>187</v>
      </c>
      <c r="B41" s="41"/>
      <c r="C41" s="41"/>
      <c r="D41" s="41"/>
      <c r="E41" s="41"/>
      <c r="F41" s="41"/>
      <c r="G41" s="41"/>
      <c r="H41" s="41"/>
      <c r="I41" s="50"/>
      <c r="J41" s="50"/>
      <c r="K41" s="50"/>
      <c r="L41" s="50"/>
      <c r="M41" s="50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45B3-9C0E-40A7-869C-2EBC1E4FC0B8}">
  <dimension ref="A1:P16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7" width="11.625" customWidth="1"/>
    <col min="8" max="9" width="12.125" customWidth="1"/>
    <col min="10" max="13" width="11.625" customWidth="1"/>
    <col min="14" max="14" width="12.625" customWidth="1"/>
    <col min="15" max="16" width="13.625" customWidth="1"/>
  </cols>
  <sheetData>
    <row r="1" spans="1:16" x14ac:dyDescent="0.2">
      <c r="A1" s="1" t="str">
        <f>CONCATENATE("Bijlage H.3: ",tabeltype," objecten")</f>
        <v>Bijlage H.3: Invultabel objecten</v>
      </c>
    </row>
    <row r="3" spans="1:16" ht="38.25" x14ac:dyDescent="0.2">
      <c r="A3" s="8" t="s">
        <v>203</v>
      </c>
      <c r="B3" s="8" t="s">
        <v>204</v>
      </c>
      <c r="C3" s="8" t="s">
        <v>205</v>
      </c>
      <c r="D3" s="8" t="s">
        <v>206</v>
      </c>
      <c r="E3" s="8" t="s">
        <v>7</v>
      </c>
      <c r="F3" s="8" t="s">
        <v>207</v>
      </c>
      <c r="G3" s="8" t="s">
        <v>127</v>
      </c>
      <c r="H3" s="8" t="s">
        <v>208</v>
      </c>
      <c r="I3" s="8" t="s">
        <v>209</v>
      </c>
      <c r="J3" s="8" t="s">
        <v>210</v>
      </c>
      <c r="K3" s="8" t="s">
        <v>128</v>
      </c>
      <c r="L3" s="8" t="s">
        <v>211</v>
      </c>
      <c r="M3" s="8" t="s">
        <v>212</v>
      </c>
      <c r="N3" s="8" t="s">
        <v>129</v>
      </c>
      <c r="O3" s="8" t="s">
        <v>213</v>
      </c>
      <c r="P3" s="8" t="s">
        <v>214</v>
      </c>
    </row>
    <row r="4" spans="1:16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</row>
    <row r="5" spans="1:16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1:16" x14ac:dyDescent="0.2">
      <c r="A6" s="15" t="s">
        <v>215</v>
      </c>
      <c r="B6" s="15" t="s">
        <v>216</v>
      </c>
      <c r="C6" s="15" t="s">
        <v>217</v>
      </c>
      <c r="D6" s="15" t="s">
        <v>218</v>
      </c>
      <c r="E6" s="51" t="s">
        <v>11</v>
      </c>
      <c r="F6" s="52">
        <f>gemuurtarief1</f>
        <v>0</v>
      </c>
      <c r="G6" s="30">
        <f>SUMPRODUCT(taakfreqtabel1,uurfactortabel1,kengetaltabel1,object1_opptabel1)</f>
        <v>0</v>
      </c>
      <c r="H6" s="30">
        <f>G6*(1/VLOOKUP(E6,dagsoorttabel1,2,FALSE))</f>
        <v>0</v>
      </c>
      <c r="I6" s="53"/>
      <c r="J6" s="30">
        <f>G6+I6*VLOOKUP(E6,dagsoorttabel1,2,FALSE)</f>
        <v>0</v>
      </c>
      <c r="K6" s="32">
        <f>SUMPRODUCT(taakfreqtabel1,kengetaltabel1,tarieftabel1,object1_opptabel1)</f>
        <v>0</v>
      </c>
      <c r="L6" s="32">
        <f>F6*I6*VLOOKUP(E6,dagsoorttabel1,2,FALSE)</f>
        <v>0</v>
      </c>
      <c r="M6" s="32">
        <f>SUM(K6:L6)</f>
        <v>0</v>
      </c>
      <c r="N6" s="30">
        <f>J6*dagenperjaar1</f>
        <v>0</v>
      </c>
      <c r="O6" s="32">
        <f>M6*dagenperjaar1</f>
        <v>0</v>
      </c>
      <c r="P6" s="32">
        <f>O6/12</f>
        <v>0</v>
      </c>
    </row>
    <row r="7" spans="1:16" x14ac:dyDescent="0.2">
      <c r="A7" s="20" t="s">
        <v>219</v>
      </c>
      <c r="B7" s="20" t="s">
        <v>220</v>
      </c>
      <c r="C7" s="20" t="s">
        <v>221</v>
      </c>
      <c r="D7" s="20" t="s">
        <v>218</v>
      </c>
      <c r="E7" s="54" t="s">
        <v>11</v>
      </c>
      <c r="F7" s="55">
        <f>gemuurtarief1</f>
        <v>0</v>
      </c>
      <c r="G7" s="33">
        <f>SUMPRODUCT(taakfreqtabel1,uurfactortabel1,kengetaltabel1,object2_opptabel1)</f>
        <v>0</v>
      </c>
      <c r="H7" s="33">
        <f>G7*(1/VLOOKUP(E7,dagsoorttabel1,2,FALSE))</f>
        <v>0</v>
      </c>
      <c r="I7" s="56"/>
      <c r="J7" s="33">
        <f>G7+I7*VLOOKUP(E7,dagsoorttabel1,2,FALSE)</f>
        <v>0</v>
      </c>
      <c r="K7" s="35">
        <f>SUMPRODUCT(taakfreqtabel1,kengetaltabel1,tarieftabel1,object2_opptabel1)</f>
        <v>0</v>
      </c>
      <c r="L7" s="35">
        <f>F7*I7*VLOOKUP(E7,dagsoorttabel1,2,FALSE)</f>
        <v>0</v>
      </c>
      <c r="M7" s="35">
        <f>SUM(K7:L7)</f>
        <v>0</v>
      </c>
      <c r="N7" s="33">
        <f>J7*dagenperjaar1</f>
        <v>0</v>
      </c>
      <c r="O7" s="35">
        <f>M7*dagenperjaar1</f>
        <v>0</v>
      </c>
      <c r="P7" s="35">
        <f>O7/12</f>
        <v>0</v>
      </c>
    </row>
    <row r="8" spans="1:16" x14ac:dyDescent="0.2">
      <c r="A8" s="20" t="s">
        <v>222</v>
      </c>
      <c r="B8" s="20" t="s">
        <v>220</v>
      </c>
      <c r="C8" s="20" t="s">
        <v>223</v>
      </c>
      <c r="D8" s="20" t="s">
        <v>218</v>
      </c>
      <c r="E8" s="54" t="s">
        <v>11</v>
      </c>
      <c r="F8" s="55">
        <f>gemuurtarief1</f>
        <v>0</v>
      </c>
      <c r="G8" s="33">
        <f>SUMPRODUCT(taakfreqtabel1,uurfactortabel1,kengetaltabel1,object3_opptabel1)</f>
        <v>0</v>
      </c>
      <c r="H8" s="33">
        <f>G8*(1/VLOOKUP(E8,dagsoorttabel1,2,FALSE))</f>
        <v>0</v>
      </c>
      <c r="I8" s="56"/>
      <c r="J8" s="33">
        <f>G8+I8*VLOOKUP(E8,dagsoorttabel1,2,FALSE)</f>
        <v>0</v>
      </c>
      <c r="K8" s="35">
        <f>SUMPRODUCT(taakfreqtabel1,kengetaltabel1,tarieftabel1,object3_opptabel1)</f>
        <v>0</v>
      </c>
      <c r="L8" s="35">
        <f>F8*I8*VLOOKUP(E8,dagsoorttabel1,2,FALSE)</f>
        <v>0</v>
      </c>
      <c r="M8" s="35">
        <f>SUM(K8:L8)</f>
        <v>0</v>
      </c>
      <c r="N8" s="33">
        <f>J8*dagenperjaar1</f>
        <v>0</v>
      </c>
      <c r="O8" s="35">
        <f>M8*dagenperjaar1</f>
        <v>0</v>
      </c>
      <c r="P8" s="35">
        <f>O8/12</f>
        <v>0</v>
      </c>
    </row>
    <row r="9" spans="1:16" x14ac:dyDescent="0.2">
      <c r="A9" s="20" t="s">
        <v>224</v>
      </c>
      <c r="B9" s="20" t="s">
        <v>225</v>
      </c>
      <c r="C9" s="20" t="s">
        <v>226</v>
      </c>
      <c r="D9" s="20" t="s">
        <v>227</v>
      </c>
      <c r="E9" s="54" t="s">
        <v>17</v>
      </c>
      <c r="F9" s="55">
        <f>gemuurtarief1</f>
        <v>0</v>
      </c>
      <c r="G9" s="33">
        <f>SUMPRODUCT(taakfreqtabel1,uurfactortabel1,kengetaltabel1,object4_opptabel1)</f>
        <v>0</v>
      </c>
      <c r="H9" s="33">
        <f>G9*(1/VLOOKUP(E9,dagsoorttabel1,2,FALSE))</f>
        <v>0</v>
      </c>
      <c r="I9" s="56"/>
      <c r="J9" s="33">
        <f>G9+I9*VLOOKUP(E9,dagsoorttabel1,2,FALSE)</f>
        <v>0</v>
      </c>
      <c r="K9" s="35">
        <f>SUMPRODUCT(taakfreqtabel1,kengetaltabel1,tarieftabel1,object4_opptabel1)</f>
        <v>0</v>
      </c>
      <c r="L9" s="35">
        <f>F9*I9*VLOOKUP(E9,dagsoorttabel1,2,FALSE)</f>
        <v>0</v>
      </c>
      <c r="M9" s="35">
        <f>SUM(K9:L9)</f>
        <v>0</v>
      </c>
      <c r="N9" s="33">
        <f>J9*dagenperjaar1</f>
        <v>0</v>
      </c>
      <c r="O9" s="35">
        <f>M9*dagenperjaar1</f>
        <v>0</v>
      </c>
      <c r="P9" s="35">
        <f>O9/12</f>
        <v>0</v>
      </c>
    </row>
    <row r="10" spans="1:16" x14ac:dyDescent="0.2">
      <c r="A10" s="25" t="s">
        <v>228</v>
      </c>
      <c r="B10" s="25" t="s">
        <v>229</v>
      </c>
      <c r="C10" s="25" t="s">
        <v>230</v>
      </c>
      <c r="D10" s="25" t="s">
        <v>218</v>
      </c>
      <c r="E10" s="57" t="s">
        <v>11</v>
      </c>
      <c r="F10" s="58">
        <f>gemuurtarief1</f>
        <v>0</v>
      </c>
      <c r="G10" s="37">
        <f>SUMPRODUCT(taakfreqtabel1,uurfactortabel1,kengetaltabel1,object5_opptabel1)</f>
        <v>0</v>
      </c>
      <c r="H10" s="37">
        <f>G10*(1/VLOOKUP(E10,dagsoorttabel1,2,FALSE))</f>
        <v>0</v>
      </c>
      <c r="I10" s="59"/>
      <c r="J10" s="37">
        <f>G10+I10*VLOOKUP(E10,dagsoorttabel1,2,FALSE)</f>
        <v>0</v>
      </c>
      <c r="K10" s="39">
        <f>SUMPRODUCT(taakfreqtabel1,kengetaltabel1,tarieftabel1,object5_opptabel1)</f>
        <v>0</v>
      </c>
      <c r="L10" s="39">
        <f>F10*I10*VLOOKUP(E10,dagsoorttabel1,2,FALSE)</f>
        <v>0</v>
      </c>
      <c r="M10" s="39">
        <f>SUM(K10:L10)</f>
        <v>0</v>
      </c>
      <c r="N10" s="37">
        <f>J10*dagenperjaar1</f>
        <v>0</v>
      </c>
      <c r="O10" s="39">
        <f>M10*dagenperjaar1</f>
        <v>0</v>
      </c>
      <c r="P10" s="39">
        <f>O10/12</f>
        <v>0</v>
      </c>
    </row>
    <row r="11" spans="1:16" x14ac:dyDescent="0.2">
      <c r="A11" s="40" t="s">
        <v>187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>
        <f>SUM(N6:N10)</f>
        <v>0</v>
      </c>
      <c r="O11" s="43">
        <f>SUM(O6:O10)</f>
        <v>0</v>
      </c>
      <c r="P11" s="44">
        <f>SUM(P6:P10)</f>
        <v>0</v>
      </c>
    </row>
    <row r="12" spans="1:16" x14ac:dyDescent="0.2">
      <c r="A12" s="45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</row>
    <row r="14" spans="1:16" x14ac:dyDescent="0.2">
      <c r="A14" s="40" t="s">
        <v>231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>
        <f>urenjaartotaal1</f>
        <v>0</v>
      </c>
      <c r="O14" s="43">
        <f>prijsjaartotaal1</f>
        <v>0</v>
      </c>
      <c r="P14" s="43">
        <f>prijsmaandtotaal1</f>
        <v>0</v>
      </c>
    </row>
    <row r="16" spans="1:16" x14ac:dyDescent="0.2">
      <c r="A16" s="40" t="s">
        <v>232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3">
        <f>O14*1.21</f>
        <v>0</v>
      </c>
      <c r="P16" s="43">
        <f>P14*1.21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BEE2-B2D5-43AB-B6A9-068929FC6CBB}">
  <dimension ref="A1:K69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  <col min="11" max="11" width="13.625" customWidth="1"/>
  </cols>
  <sheetData>
    <row r="1" spans="1:11" x14ac:dyDescent="0.2">
      <c r="A1" s="1" t="str">
        <f>CONCATENATE("Bijlage H.4: ",tabeltype," niet-meewerkende objectleiding")</f>
        <v>Bijlage H.4: Invultabel niet-meewerkende objectleiding</v>
      </c>
    </row>
    <row r="3" spans="1:11" ht="38.25" x14ac:dyDescent="0.2">
      <c r="A3" s="8" t="s">
        <v>233</v>
      </c>
      <c r="B3" s="8" t="s">
        <v>7</v>
      </c>
      <c r="C3" s="8" t="s">
        <v>234</v>
      </c>
      <c r="D3" s="8" t="s">
        <v>235</v>
      </c>
      <c r="E3" s="8" t="s">
        <v>236</v>
      </c>
      <c r="F3" s="8" t="s">
        <v>237</v>
      </c>
      <c r="G3" s="8" t="s">
        <v>238</v>
      </c>
      <c r="H3" s="8" t="s">
        <v>129</v>
      </c>
      <c r="I3" s="8" t="s">
        <v>239</v>
      </c>
      <c r="J3" s="8" t="s">
        <v>240</v>
      </c>
      <c r="K3" s="8" t="s">
        <v>241</v>
      </c>
    </row>
    <row r="4" spans="1:11" x14ac:dyDescent="0.2">
      <c r="A4" s="60"/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63" t="s">
        <v>242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">
      <c r="A8" s="15" t="s">
        <v>243</v>
      </c>
      <c r="B8" s="15" t="s">
        <v>11</v>
      </c>
      <c r="C8" s="16">
        <f>IF(ISBLANK(B8),0,IF(ISERROR(VALUE(B8)),VLOOKUP(B8,dagsoorttabel1,2,FALSE)*dagenperjaar1,VALUE(B8)))</f>
        <v>200</v>
      </c>
      <c r="D8" s="15" t="s">
        <v>244</v>
      </c>
      <c r="E8" s="19"/>
      <c r="F8" s="18"/>
      <c r="G8" s="64"/>
      <c r="H8" s="30">
        <f>IF(ISBLANK(G8),0,G8*C8)+IF(ISBLANK(F8),0,F8*objecturen1_1)</f>
        <v>0</v>
      </c>
      <c r="I8" s="30">
        <f>IF(C8=0,0,H8/C8)</f>
        <v>0</v>
      </c>
      <c r="J8" s="32">
        <f>IF(ISBLANK(E8),0,ROUND(E8,2)*H8)</f>
        <v>0</v>
      </c>
      <c r="K8" s="32">
        <f>J8/12</f>
        <v>0</v>
      </c>
    </row>
    <row r="9" spans="1:11" x14ac:dyDescent="0.2">
      <c r="A9" s="20"/>
      <c r="B9" s="20"/>
      <c r="C9" s="65">
        <f>dagenperjaar1</f>
        <v>260</v>
      </c>
      <c r="D9" s="66" t="s">
        <v>245</v>
      </c>
      <c r="E9" s="24"/>
      <c r="F9" s="23"/>
      <c r="G9" s="67"/>
      <c r="H9" s="33">
        <f>IF(ISBLANK(G9),0,G9*C9)+IF(ISBLANK(F9),0,F9*objecturen1_1)</f>
        <v>0</v>
      </c>
      <c r="I9" s="33">
        <f>IF(C9=0,0,H9/C9)</f>
        <v>0</v>
      </c>
      <c r="J9" s="35">
        <f>IF(ISBLANK(E9),0,ROUND(E9,2)*H9)</f>
        <v>0</v>
      </c>
      <c r="K9" s="35">
        <f>J9/12</f>
        <v>0</v>
      </c>
    </row>
    <row r="10" spans="1:11" x14ac:dyDescent="0.2">
      <c r="A10" s="20"/>
      <c r="B10" s="20"/>
      <c r="C10" s="65">
        <f>dagenperjaar1</f>
        <v>260</v>
      </c>
      <c r="D10" s="66" t="s">
        <v>245</v>
      </c>
      <c r="E10" s="24"/>
      <c r="F10" s="23"/>
      <c r="G10" s="67"/>
      <c r="H10" s="33">
        <f>IF(ISBLANK(G10),0,G10*C10)+IF(ISBLANK(F10),0,F10*objecturen1_1)</f>
        <v>0</v>
      </c>
      <c r="I10" s="33">
        <f>IF(C10=0,0,H10/C10)</f>
        <v>0</v>
      </c>
      <c r="J10" s="35">
        <f>IF(ISBLANK(E10),0,ROUND(E10,2)*H10)</f>
        <v>0</v>
      </c>
      <c r="K10" s="35">
        <f>J10/12</f>
        <v>0</v>
      </c>
    </row>
    <row r="11" spans="1:11" x14ac:dyDescent="0.2">
      <c r="A11" s="20"/>
      <c r="B11" s="20"/>
      <c r="C11" s="65">
        <f>dagenperjaar1</f>
        <v>260</v>
      </c>
      <c r="D11" s="66" t="s">
        <v>246</v>
      </c>
      <c r="E11" s="24"/>
      <c r="F11" s="68"/>
      <c r="G11" s="22"/>
      <c r="H11" s="33">
        <f>IF(ISBLANK(G11),0,G11*C11)+IF(ISBLANK(F11),0,F11*objecturen1_1)</f>
        <v>0</v>
      </c>
      <c r="I11" s="33">
        <f>IF(C11=0,0,H11/C11)</f>
        <v>0</v>
      </c>
      <c r="J11" s="35">
        <f>IF(ISBLANK(E11),0,ROUND(E11,2)*H11)</f>
        <v>0</v>
      </c>
      <c r="K11" s="35">
        <f>J11/12</f>
        <v>0</v>
      </c>
    </row>
    <row r="12" spans="1:11" x14ac:dyDescent="0.2">
      <c r="A12" s="25"/>
      <c r="B12" s="25"/>
      <c r="C12" s="69">
        <f>dagenperjaar1</f>
        <v>260</v>
      </c>
      <c r="D12" s="70" t="s">
        <v>246</v>
      </c>
      <c r="E12" s="29"/>
      <c r="F12" s="71"/>
      <c r="G12" s="27"/>
      <c r="H12" s="37">
        <f>IF(ISBLANK(G12),0,G12*C12)+IF(ISBLANK(F12),0,F12*objecturen1_1)</f>
        <v>0</v>
      </c>
      <c r="I12" s="37">
        <f>IF(C12=0,0,H12/C12)</f>
        <v>0</v>
      </c>
      <c r="J12" s="39">
        <f>IF(ISBLANK(E12),0,ROUND(E12,2)*H12)</f>
        <v>0</v>
      </c>
      <c r="K12" s="39">
        <f>J12/12</f>
        <v>0</v>
      </c>
    </row>
    <row r="13" spans="1:11" x14ac:dyDescent="0.2">
      <c r="A13" s="72" t="s">
        <v>247</v>
      </c>
      <c r="B13" s="41"/>
      <c r="C13" s="41"/>
      <c r="D13" s="41"/>
      <c r="E13" s="41"/>
      <c r="F13" s="41"/>
      <c r="G13" s="41"/>
      <c r="H13" s="42">
        <f>SUM(H8:H12)</f>
        <v>0</v>
      </c>
      <c r="I13" s="41"/>
      <c r="J13" s="43">
        <f>SUM(J8:J12)</f>
        <v>0</v>
      </c>
      <c r="K13" s="44">
        <f>SUM(K8:K12)</f>
        <v>0</v>
      </c>
    </row>
    <row r="14" spans="1:11" x14ac:dyDescent="0.2">
      <c r="A14" s="45"/>
      <c r="B14" s="41"/>
      <c r="C14" s="41"/>
      <c r="D14" s="41"/>
      <c r="E14" s="41"/>
      <c r="F14" s="41"/>
      <c r="G14" s="41"/>
      <c r="H14" s="41"/>
      <c r="I14" s="41"/>
      <c r="J14" s="41"/>
      <c r="K14" s="46"/>
    </row>
    <row r="15" spans="1:1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1"/>
    </row>
    <row r="16" spans="1:11" x14ac:dyDescent="0.2">
      <c r="A16" s="63" t="s">
        <v>248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spans="1:11" x14ac:dyDescent="0.2">
      <c r="A17" s="15" t="s">
        <v>243</v>
      </c>
      <c r="B17" s="15" t="s">
        <v>11</v>
      </c>
      <c r="C17" s="16">
        <f>IF(ISBLANK(B17),0,IF(ISERROR(VALUE(B17)),VLOOKUP(B17,dagsoorttabel1,2,FALSE)*dagenperjaar1,VALUE(B17)))</f>
        <v>200</v>
      </c>
      <c r="D17" s="15" t="s">
        <v>244</v>
      </c>
      <c r="E17" s="19"/>
      <c r="F17" s="18"/>
      <c r="G17" s="64"/>
      <c r="H17" s="30">
        <f>IF(ISBLANK(G17),0,G17*C17)+IF(ISBLANK(F17),0,F17*objecturen2_1)</f>
        <v>0</v>
      </c>
      <c r="I17" s="30">
        <f>IF(C17=0,0,H17/C17)</f>
        <v>0</v>
      </c>
      <c r="J17" s="32">
        <f>IF(ISBLANK(E17),0,ROUND(E17,2)*H17)</f>
        <v>0</v>
      </c>
      <c r="K17" s="32">
        <f>J17/12</f>
        <v>0</v>
      </c>
    </row>
    <row r="18" spans="1:11" x14ac:dyDescent="0.2">
      <c r="A18" s="20"/>
      <c r="B18" s="20"/>
      <c r="C18" s="65">
        <f>dagenperjaar1</f>
        <v>260</v>
      </c>
      <c r="D18" s="66" t="s">
        <v>245</v>
      </c>
      <c r="E18" s="24"/>
      <c r="F18" s="23"/>
      <c r="G18" s="67"/>
      <c r="H18" s="33">
        <f>IF(ISBLANK(G18),0,G18*C18)+IF(ISBLANK(F18),0,F18*objecturen2_1)</f>
        <v>0</v>
      </c>
      <c r="I18" s="33">
        <f>IF(C18=0,0,H18/C18)</f>
        <v>0</v>
      </c>
      <c r="J18" s="35">
        <f>IF(ISBLANK(E18),0,ROUND(E18,2)*H18)</f>
        <v>0</v>
      </c>
      <c r="K18" s="35">
        <f>J18/12</f>
        <v>0</v>
      </c>
    </row>
    <row r="19" spans="1:11" x14ac:dyDescent="0.2">
      <c r="A19" s="20"/>
      <c r="B19" s="20"/>
      <c r="C19" s="65">
        <f>dagenperjaar1</f>
        <v>260</v>
      </c>
      <c r="D19" s="66" t="s">
        <v>245</v>
      </c>
      <c r="E19" s="24"/>
      <c r="F19" s="23"/>
      <c r="G19" s="67"/>
      <c r="H19" s="33">
        <f>IF(ISBLANK(G19),0,G19*C19)+IF(ISBLANK(F19),0,F19*objecturen2_1)</f>
        <v>0</v>
      </c>
      <c r="I19" s="33">
        <f>IF(C19=0,0,H19/C19)</f>
        <v>0</v>
      </c>
      <c r="J19" s="35">
        <f>IF(ISBLANK(E19),0,ROUND(E19,2)*H19)</f>
        <v>0</v>
      </c>
      <c r="K19" s="35">
        <f>J19/12</f>
        <v>0</v>
      </c>
    </row>
    <row r="20" spans="1:11" x14ac:dyDescent="0.2">
      <c r="A20" s="20"/>
      <c r="B20" s="20"/>
      <c r="C20" s="65">
        <f>dagenperjaar1</f>
        <v>260</v>
      </c>
      <c r="D20" s="66" t="s">
        <v>246</v>
      </c>
      <c r="E20" s="24"/>
      <c r="F20" s="68"/>
      <c r="G20" s="22"/>
      <c r="H20" s="33">
        <f>IF(ISBLANK(G20),0,G20*C20)+IF(ISBLANK(F20),0,F20*objecturen2_1)</f>
        <v>0</v>
      </c>
      <c r="I20" s="33">
        <f>IF(C20=0,0,H20/C20)</f>
        <v>0</v>
      </c>
      <c r="J20" s="35">
        <f>IF(ISBLANK(E20),0,ROUND(E20,2)*H20)</f>
        <v>0</v>
      </c>
      <c r="K20" s="35">
        <f>J20/12</f>
        <v>0</v>
      </c>
    </row>
    <row r="21" spans="1:11" x14ac:dyDescent="0.2">
      <c r="A21" s="25"/>
      <c r="B21" s="25"/>
      <c r="C21" s="69">
        <f>dagenperjaar1</f>
        <v>260</v>
      </c>
      <c r="D21" s="70" t="s">
        <v>246</v>
      </c>
      <c r="E21" s="29"/>
      <c r="F21" s="71"/>
      <c r="G21" s="27"/>
      <c r="H21" s="37">
        <f>IF(ISBLANK(G21),0,G21*C21)+IF(ISBLANK(F21),0,F21*objecturen2_1)</f>
        <v>0</v>
      </c>
      <c r="I21" s="37">
        <f>IF(C21=0,0,H21/C21)</f>
        <v>0</v>
      </c>
      <c r="J21" s="39">
        <f>IF(ISBLANK(E21),0,ROUND(E21,2)*H21)</f>
        <v>0</v>
      </c>
      <c r="K21" s="39">
        <f>J21/12</f>
        <v>0</v>
      </c>
    </row>
    <row r="22" spans="1:11" x14ac:dyDescent="0.2">
      <c r="A22" s="72" t="s">
        <v>249</v>
      </c>
      <c r="B22" s="41"/>
      <c r="C22" s="41"/>
      <c r="D22" s="41"/>
      <c r="E22" s="41"/>
      <c r="F22" s="41"/>
      <c r="G22" s="41"/>
      <c r="H22" s="42">
        <f>SUM(H17:H21)</f>
        <v>0</v>
      </c>
      <c r="I22" s="41"/>
      <c r="J22" s="43">
        <f>SUM(J17:J21)</f>
        <v>0</v>
      </c>
      <c r="K22" s="44">
        <f>SUM(K17:K21)</f>
        <v>0</v>
      </c>
    </row>
    <row r="23" spans="1:11" x14ac:dyDescent="0.2">
      <c r="A23" s="45"/>
      <c r="B23" s="41"/>
      <c r="C23" s="41"/>
      <c r="D23" s="41"/>
      <c r="E23" s="41"/>
      <c r="F23" s="41"/>
      <c r="G23" s="41"/>
      <c r="H23" s="41"/>
      <c r="I23" s="41"/>
      <c r="J23" s="41"/>
      <c r="K23" s="46"/>
    </row>
    <row r="24" spans="1:11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</row>
    <row r="25" spans="1:11" x14ac:dyDescent="0.2">
      <c r="A25" s="63" t="s">
        <v>250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1" x14ac:dyDescent="0.2">
      <c r="A26" s="15" t="s">
        <v>243</v>
      </c>
      <c r="B26" s="15" t="s">
        <v>11</v>
      </c>
      <c r="C26" s="16">
        <f>IF(ISBLANK(B26),0,IF(ISERROR(VALUE(B26)),VLOOKUP(B26,dagsoorttabel1,2,FALSE)*dagenperjaar1,VALUE(B26)))</f>
        <v>200</v>
      </c>
      <c r="D26" s="15" t="s">
        <v>244</v>
      </c>
      <c r="E26" s="19"/>
      <c r="F26" s="18"/>
      <c r="G26" s="64"/>
      <c r="H26" s="30">
        <f>IF(ISBLANK(G26),0,G26*C26)+IF(ISBLANK(F26),0,F26*objecturen3_1)</f>
        <v>0</v>
      </c>
      <c r="I26" s="30">
        <f>IF(C26=0,0,H26/C26)</f>
        <v>0</v>
      </c>
      <c r="J26" s="32">
        <f>IF(ISBLANK(E26),0,ROUND(E26,2)*H26)</f>
        <v>0</v>
      </c>
      <c r="K26" s="32">
        <f>J26/12</f>
        <v>0</v>
      </c>
    </row>
    <row r="27" spans="1:11" x14ac:dyDescent="0.2">
      <c r="A27" s="20"/>
      <c r="B27" s="20"/>
      <c r="C27" s="65">
        <f>dagenperjaar1</f>
        <v>260</v>
      </c>
      <c r="D27" s="66" t="s">
        <v>245</v>
      </c>
      <c r="E27" s="24"/>
      <c r="F27" s="23"/>
      <c r="G27" s="67"/>
      <c r="H27" s="33">
        <f>IF(ISBLANK(G27),0,G27*C27)+IF(ISBLANK(F27),0,F27*objecturen3_1)</f>
        <v>0</v>
      </c>
      <c r="I27" s="33">
        <f>IF(C27=0,0,H27/C27)</f>
        <v>0</v>
      </c>
      <c r="J27" s="35">
        <f>IF(ISBLANK(E27),0,ROUND(E27,2)*H27)</f>
        <v>0</v>
      </c>
      <c r="K27" s="35">
        <f>J27/12</f>
        <v>0</v>
      </c>
    </row>
    <row r="28" spans="1:11" x14ac:dyDescent="0.2">
      <c r="A28" s="20"/>
      <c r="B28" s="20"/>
      <c r="C28" s="65">
        <f>dagenperjaar1</f>
        <v>260</v>
      </c>
      <c r="D28" s="66" t="s">
        <v>245</v>
      </c>
      <c r="E28" s="24"/>
      <c r="F28" s="23"/>
      <c r="G28" s="67"/>
      <c r="H28" s="33">
        <f>IF(ISBLANK(G28),0,G28*C28)+IF(ISBLANK(F28),0,F28*objecturen3_1)</f>
        <v>0</v>
      </c>
      <c r="I28" s="33">
        <f>IF(C28=0,0,H28/C28)</f>
        <v>0</v>
      </c>
      <c r="J28" s="35">
        <f>IF(ISBLANK(E28),0,ROUND(E28,2)*H28)</f>
        <v>0</v>
      </c>
      <c r="K28" s="35">
        <f>J28/12</f>
        <v>0</v>
      </c>
    </row>
    <row r="29" spans="1:11" x14ac:dyDescent="0.2">
      <c r="A29" s="20"/>
      <c r="B29" s="20"/>
      <c r="C29" s="65">
        <f>dagenperjaar1</f>
        <v>260</v>
      </c>
      <c r="D29" s="66" t="s">
        <v>246</v>
      </c>
      <c r="E29" s="24"/>
      <c r="F29" s="68"/>
      <c r="G29" s="22"/>
      <c r="H29" s="33">
        <f>IF(ISBLANK(G29),0,G29*C29)+IF(ISBLANK(F29),0,F29*objecturen3_1)</f>
        <v>0</v>
      </c>
      <c r="I29" s="33">
        <f>IF(C29=0,0,H29/C29)</f>
        <v>0</v>
      </c>
      <c r="J29" s="35">
        <f>IF(ISBLANK(E29),0,ROUND(E29,2)*H29)</f>
        <v>0</v>
      </c>
      <c r="K29" s="35">
        <f>J29/12</f>
        <v>0</v>
      </c>
    </row>
    <row r="30" spans="1:11" x14ac:dyDescent="0.2">
      <c r="A30" s="25"/>
      <c r="B30" s="25"/>
      <c r="C30" s="69">
        <f>dagenperjaar1</f>
        <v>260</v>
      </c>
      <c r="D30" s="70" t="s">
        <v>246</v>
      </c>
      <c r="E30" s="29"/>
      <c r="F30" s="71"/>
      <c r="G30" s="27"/>
      <c r="H30" s="37">
        <f>IF(ISBLANK(G30),0,G30*C30)+IF(ISBLANK(F30),0,F30*objecturen3_1)</f>
        <v>0</v>
      </c>
      <c r="I30" s="37">
        <f>IF(C30=0,0,H30/C30)</f>
        <v>0</v>
      </c>
      <c r="J30" s="39">
        <f>IF(ISBLANK(E30),0,ROUND(E30,2)*H30)</f>
        <v>0</v>
      </c>
      <c r="K30" s="39">
        <f>J30/12</f>
        <v>0</v>
      </c>
    </row>
    <row r="31" spans="1:11" x14ac:dyDescent="0.2">
      <c r="A31" s="72" t="s">
        <v>251</v>
      </c>
      <c r="B31" s="41"/>
      <c r="C31" s="41"/>
      <c r="D31" s="41"/>
      <c r="E31" s="41"/>
      <c r="F31" s="41"/>
      <c r="G31" s="41"/>
      <c r="H31" s="42">
        <f>SUM(H26:H30)</f>
        <v>0</v>
      </c>
      <c r="I31" s="41"/>
      <c r="J31" s="43">
        <f>SUM(J26:J30)</f>
        <v>0</v>
      </c>
      <c r="K31" s="44">
        <f>SUM(K26:K30)</f>
        <v>0</v>
      </c>
    </row>
    <row r="32" spans="1:11" x14ac:dyDescent="0.2">
      <c r="A32" s="45"/>
      <c r="B32" s="41"/>
      <c r="C32" s="41"/>
      <c r="D32" s="41"/>
      <c r="E32" s="41"/>
      <c r="F32" s="41"/>
      <c r="G32" s="41"/>
      <c r="H32" s="41"/>
      <c r="I32" s="41"/>
      <c r="J32" s="41"/>
      <c r="K32" s="46"/>
    </row>
    <row r="33" spans="1:11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1"/>
    </row>
    <row r="34" spans="1:11" x14ac:dyDescent="0.2">
      <c r="A34" s="63" t="s">
        <v>252</v>
      </c>
      <c r="B34" s="13"/>
      <c r="C34" s="13"/>
      <c r="D34" s="13"/>
      <c r="E34" s="13"/>
      <c r="F34" s="13"/>
      <c r="G34" s="13"/>
      <c r="H34" s="13"/>
      <c r="I34" s="13"/>
      <c r="J34" s="13"/>
      <c r="K34" s="14"/>
    </row>
    <row r="35" spans="1:11" x14ac:dyDescent="0.2">
      <c r="A35" s="15" t="s">
        <v>243</v>
      </c>
      <c r="B35" s="15" t="s">
        <v>17</v>
      </c>
      <c r="C35" s="16">
        <f>IF(ISBLANK(B35),0,IF(ISERROR(VALUE(B35)),VLOOKUP(B35,dagsoorttabel1,2,FALSE)*dagenperjaar1,VALUE(B35)))</f>
        <v>80</v>
      </c>
      <c r="D35" s="15" t="s">
        <v>244</v>
      </c>
      <c r="E35" s="19"/>
      <c r="F35" s="18"/>
      <c r="G35" s="64"/>
      <c r="H35" s="30">
        <f>IF(ISBLANK(G35),0,G35*C35)+IF(ISBLANK(F35),0,F35*objecturen4_1)</f>
        <v>0</v>
      </c>
      <c r="I35" s="30">
        <f>IF(C35=0,0,H35/C35)</f>
        <v>0</v>
      </c>
      <c r="J35" s="32">
        <f>IF(ISBLANK(E35),0,ROUND(E35,2)*H35)</f>
        <v>0</v>
      </c>
      <c r="K35" s="32">
        <f>J35/12</f>
        <v>0</v>
      </c>
    </row>
    <row r="36" spans="1:11" x14ac:dyDescent="0.2">
      <c r="A36" s="20"/>
      <c r="B36" s="20"/>
      <c r="C36" s="65">
        <f>dagenperjaar1</f>
        <v>260</v>
      </c>
      <c r="D36" s="66" t="s">
        <v>245</v>
      </c>
      <c r="E36" s="24"/>
      <c r="F36" s="23"/>
      <c r="G36" s="67"/>
      <c r="H36" s="33">
        <f>IF(ISBLANK(G36),0,G36*C36)+IF(ISBLANK(F36),0,F36*objecturen4_1)</f>
        <v>0</v>
      </c>
      <c r="I36" s="33">
        <f>IF(C36=0,0,H36/C36)</f>
        <v>0</v>
      </c>
      <c r="J36" s="35">
        <f>IF(ISBLANK(E36),0,ROUND(E36,2)*H36)</f>
        <v>0</v>
      </c>
      <c r="K36" s="35">
        <f>J36/12</f>
        <v>0</v>
      </c>
    </row>
    <row r="37" spans="1:11" x14ac:dyDescent="0.2">
      <c r="A37" s="20"/>
      <c r="B37" s="20"/>
      <c r="C37" s="65">
        <f>dagenperjaar1</f>
        <v>260</v>
      </c>
      <c r="D37" s="66" t="s">
        <v>245</v>
      </c>
      <c r="E37" s="24"/>
      <c r="F37" s="23"/>
      <c r="G37" s="67"/>
      <c r="H37" s="33">
        <f>IF(ISBLANK(G37),0,G37*C37)+IF(ISBLANK(F37),0,F37*objecturen4_1)</f>
        <v>0</v>
      </c>
      <c r="I37" s="33">
        <f>IF(C37=0,0,H37/C37)</f>
        <v>0</v>
      </c>
      <c r="J37" s="35">
        <f>IF(ISBLANK(E37),0,ROUND(E37,2)*H37)</f>
        <v>0</v>
      </c>
      <c r="K37" s="35">
        <f>J37/12</f>
        <v>0</v>
      </c>
    </row>
    <row r="38" spans="1:11" x14ac:dyDescent="0.2">
      <c r="A38" s="20"/>
      <c r="B38" s="20"/>
      <c r="C38" s="65">
        <f>dagenperjaar1</f>
        <v>260</v>
      </c>
      <c r="D38" s="66" t="s">
        <v>246</v>
      </c>
      <c r="E38" s="24"/>
      <c r="F38" s="68"/>
      <c r="G38" s="22"/>
      <c r="H38" s="33">
        <f>IF(ISBLANK(G38),0,G38*C38)+IF(ISBLANK(F38),0,F38*objecturen4_1)</f>
        <v>0</v>
      </c>
      <c r="I38" s="33">
        <f>IF(C38=0,0,H38/C38)</f>
        <v>0</v>
      </c>
      <c r="J38" s="35">
        <f>IF(ISBLANK(E38),0,ROUND(E38,2)*H38)</f>
        <v>0</v>
      </c>
      <c r="K38" s="35">
        <f>J38/12</f>
        <v>0</v>
      </c>
    </row>
    <row r="39" spans="1:11" x14ac:dyDescent="0.2">
      <c r="A39" s="25"/>
      <c r="B39" s="25"/>
      <c r="C39" s="69">
        <f>dagenperjaar1</f>
        <v>260</v>
      </c>
      <c r="D39" s="70" t="s">
        <v>246</v>
      </c>
      <c r="E39" s="29"/>
      <c r="F39" s="71"/>
      <c r="G39" s="27"/>
      <c r="H39" s="37">
        <f>IF(ISBLANK(G39),0,G39*C39)+IF(ISBLANK(F39),0,F39*objecturen4_1)</f>
        <v>0</v>
      </c>
      <c r="I39" s="37">
        <f>IF(C39=0,0,H39/C39)</f>
        <v>0</v>
      </c>
      <c r="J39" s="39">
        <f>IF(ISBLANK(E39),0,ROUND(E39,2)*H39)</f>
        <v>0</v>
      </c>
      <c r="K39" s="39">
        <f>J39/12</f>
        <v>0</v>
      </c>
    </row>
    <row r="40" spans="1:11" x14ac:dyDescent="0.2">
      <c r="A40" s="72" t="s">
        <v>253</v>
      </c>
      <c r="B40" s="41"/>
      <c r="C40" s="41"/>
      <c r="D40" s="41"/>
      <c r="E40" s="41"/>
      <c r="F40" s="41"/>
      <c r="G40" s="41"/>
      <c r="H40" s="42">
        <f>SUM(H35:H39)</f>
        <v>0</v>
      </c>
      <c r="I40" s="41"/>
      <c r="J40" s="43">
        <f>SUM(J35:J39)</f>
        <v>0</v>
      </c>
      <c r="K40" s="44">
        <f>SUM(K35:K39)</f>
        <v>0</v>
      </c>
    </row>
    <row r="41" spans="1:11" x14ac:dyDescent="0.2">
      <c r="A41" s="45"/>
      <c r="B41" s="41"/>
      <c r="C41" s="41"/>
      <c r="D41" s="41"/>
      <c r="E41" s="41"/>
      <c r="F41" s="41"/>
      <c r="G41" s="41"/>
      <c r="H41" s="41"/>
      <c r="I41" s="41"/>
      <c r="J41" s="41"/>
      <c r="K41" s="46"/>
    </row>
    <row r="42" spans="1:11" x14ac:dyDescent="0.2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1"/>
    </row>
    <row r="43" spans="1:11" x14ac:dyDescent="0.2">
      <c r="A43" s="63" t="s">
        <v>254</v>
      </c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1:11" x14ac:dyDescent="0.2">
      <c r="A44" s="15" t="s">
        <v>243</v>
      </c>
      <c r="B44" s="15" t="s">
        <v>11</v>
      </c>
      <c r="C44" s="16">
        <f>IF(ISBLANK(B44),0,IF(ISERROR(VALUE(B44)),VLOOKUP(B44,dagsoorttabel1,2,FALSE)*dagenperjaar1,VALUE(B44)))</f>
        <v>200</v>
      </c>
      <c r="D44" s="15" t="s">
        <v>244</v>
      </c>
      <c r="E44" s="19"/>
      <c r="F44" s="18"/>
      <c r="G44" s="64"/>
      <c r="H44" s="30">
        <f>IF(ISBLANK(G44),0,G44*C44)+IF(ISBLANK(F44),0,F44*objecturen5_1)</f>
        <v>0</v>
      </c>
      <c r="I44" s="30">
        <f>IF(C44=0,0,H44/C44)</f>
        <v>0</v>
      </c>
      <c r="J44" s="32">
        <f>IF(ISBLANK(E44),0,ROUND(E44,2)*H44)</f>
        <v>0</v>
      </c>
      <c r="K44" s="32">
        <f>J44/12</f>
        <v>0</v>
      </c>
    </row>
    <row r="45" spans="1:11" x14ac:dyDescent="0.2">
      <c r="A45" s="20"/>
      <c r="B45" s="20"/>
      <c r="C45" s="65">
        <f>dagenperjaar1</f>
        <v>260</v>
      </c>
      <c r="D45" s="66" t="s">
        <v>245</v>
      </c>
      <c r="E45" s="24"/>
      <c r="F45" s="23"/>
      <c r="G45" s="67"/>
      <c r="H45" s="33">
        <f>IF(ISBLANK(G45),0,G45*C45)+IF(ISBLANK(F45),0,F45*objecturen5_1)</f>
        <v>0</v>
      </c>
      <c r="I45" s="33">
        <f>IF(C45=0,0,H45/C45)</f>
        <v>0</v>
      </c>
      <c r="J45" s="35">
        <f>IF(ISBLANK(E45),0,ROUND(E45,2)*H45)</f>
        <v>0</v>
      </c>
      <c r="K45" s="35">
        <f>J45/12</f>
        <v>0</v>
      </c>
    </row>
    <row r="46" spans="1:11" x14ac:dyDescent="0.2">
      <c r="A46" s="20"/>
      <c r="B46" s="20"/>
      <c r="C46" s="65">
        <f>dagenperjaar1</f>
        <v>260</v>
      </c>
      <c r="D46" s="66" t="s">
        <v>245</v>
      </c>
      <c r="E46" s="24"/>
      <c r="F46" s="23"/>
      <c r="G46" s="67"/>
      <c r="H46" s="33">
        <f>IF(ISBLANK(G46),0,G46*C46)+IF(ISBLANK(F46),0,F46*objecturen5_1)</f>
        <v>0</v>
      </c>
      <c r="I46" s="33">
        <f>IF(C46=0,0,H46/C46)</f>
        <v>0</v>
      </c>
      <c r="J46" s="35">
        <f>IF(ISBLANK(E46),0,ROUND(E46,2)*H46)</f>
        <v>0</v>
      </c>
      <c r="K46" s="35">
        <f>J46/12</f>
        <v>0</v>
      </c>
    </row>
    <row r="47" spans="1:11" x14ac:dyDescent="0.2">
      <c r="A47" s="20"/>
      <c r="B47" s="20"/>
      <c r="C47" s="65">
        <f>dagenperjaar1</f>
        <v>260</v>
      </c>
      <c r="D47" s="66" t="s">
        <v>246</v>
      </c>
      <c r="E47" s="24"/>
      <c r="F47" s="68"/>
      <c r="G47" s="22"/>
      <c r="H47" s="33">
        <f>IF(ISBLANK(G47),0,G47*C47)+IF(ISBLANK(F47),0,F47*objecturen5_1)</f>
        <v>0</v>
      </c>
      <c r="I47" s="33">
        <f>IF(C47=0,0,H47/C47)</f>
        <v>0</v>
      </c>
      <c r="J47" s="35">
        <f>IF(ISBLANK(E47),0,ROUND(E47,2)*H47)</f>
        <v>0</v>
      </c>
      <c r="K47" s="35">
        <f>J47/12</f>
        <v>0</v>
      </c>
    </row>
    <row r="48" spans="1:11" x14ac:dyDescent="0.2">
      <c r="A48" s="25"/>
      <c r="B48" s="25"/>
      <c r="C48" s="69">
        <f>dagenperjaar1</f>
        <v>260</v>
      </c>
      <c r="D48" s="70" t="s">
        <v>246</v>
      </c>
      <c r="E48" s="29"/>
      <c r="F48" s="71"/>
      <c r="G48" s="27"/>
      <c r="H48" s="37">
        <f>IF(ISBLANK(G48),0,G48*C48)+IF(ISBLANK(F48),0,F48*objecturen5_1)</f>
        <v>0</v>
      </c>
      <c r="I48" s="37">
        <f>IF(C48=0,0,H48/C48)</f>
        <v>0</v>
      </c>
      <c r="J48" s="39">
        <f>IF(ISBLANK(E48),0,ROUND(E48,2)*H48)</f>
        <v>0</v>
      </c>
      <c r="K48" s="39">
        <f>J48/12</f>
        <v>0</v>
      </c>
    </row>
    <row r="49" spans="1:11" x14ac:dyDescent="0.2">
      <c r="A49" s="72" t="s">
        <v>255</v>
      </c>
      <c r="B49" s="41"/>
      <c r="C49" s="41"/>
      <c r="D49" s="41"/>
      <c r="E49" s="41"/>
      <c r="F49" s="41"/>
      <c r="G49" s="41"/>
      <c r="H49" s="42">
        <f>SUM(H44:H48)</f>
        <v>0</v>
      </c>
      <c r="I49" s="41"/>
      <c r="J49" s="43">
        <f>SUM(J44:J48)</f>
        <v>0</v>
      </c>
      <c r="K49" s="44">
        <f>SUM(K44:K48)</f>
        <v>0</v>
      </c>
    </row>
    <row r="50" spans="1:11" x14ac:dyDescent="0.2">
      <c r="A50" s="45"/>
      <c r="B50" s="41"/>
      <c r="C50" s="41"/>
      <c r="D50" s="41"/>
      <c r="E50" s="41"/>
      <c r="F50" s="41"/>
      <c r="G50" s="41"/>
      <c r="H50" s="41"/>
      <c r="I50" s="41"/>
      <c r="J50" s="41"/>
      <c r="K50" s="46"/>
    </row>
    <row r="51" spans="1:11" x14ac:dyDescent="0.2">
      <c r="A51" s="40" t="s">
        <v>187</v>
      </c>
      <c r="B51" s="41"/>
      <c r="C51" s="41"/>
      <c r="D51" s="41"/>
      <c r="E51" s="41"/>
      <c r="F51" s="41"/>
      <c r="G51" s="41"/>
      <c r="H51" s="42">
        <f>tzujt1_1+tzujt2_1+tzujt3_1+tzujt4_1+tzujt5_1</f>
        <v>0</v>
      </c>
      <c r="I51" s="41"/>
      <c r="J51" s="43">
        <f>tzpjt1_1+tzpjt2_1+tzpjt3_1+tzpjt4_1+tzpjt5_1</f>
        <v>0</v>
      </c>
      <c r="K51" s="44">
        <f>tzpmt1_1+tzpmt2_1+tzpmt3_1+tzpmt4_1+tzpmt5_1</f>
        <v>0</v>
      </c>
    </row>
    <row r="52" spans="1:11" x14ac:dyDescent="0.2">
      <c r="A52" s="45"/>
      <c r="B52" s="41"/>
      <c r="C52" s="41"/>
      <c r="D52" s="41"/>
      <c r="E52" s="41"/>
      <c r="F52" s="41"/>
      <c r="G52" s="41"/>
      <c r="H52" s="41"/>
      <c r="I52" s="41"/>
      <c r="J52" s="41"/>
      <c r="K52" s="46"/>
    </row>
    <row r="53" spans="1:11" x14ac:dyDescent="0.2">
      <c r="A53" s="60"/>
      <c r="B53" s="61"/>
      <c r="C53" s="61"/>
      <c r="D53" s="61"/>
      <c r="E53" s="61"/>
      <c r="F53" s="61"/>
      <c r="G53" s="61"/>
      <c r="H53" s="61"/>
      <c r="I53" s="61"/>
      <c r="J53" s="61"/>
      <c r="K53" s="62"/>
    </row>
    <row r="54" spans="1:11" x14ac:dyDescent="0.2">
      <c r="A54" s="12" t="s">
        <v>256</v>
      </c>
      <c r="B54" s="13"/>
      <c r="C54" s="13"/>
      <c r="D54" s="13"/>
      <c r="E54" s="13"/>
      <c r="F54" s="13"/>
      <c r="G54" s="13"/>
      <c r="H54" s="13"/>
      <c r="I54" s="13"/>
      <c r="J54" s="13"/>
      <c r="K54" s="14"/>
    </row>
    <row r="55" spans="1:11" x14ac:dyDescent="0.2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1"/>
    </row>
    <row r="56" spans="1:11" x14ac:dyDescent="0.2">
      <c r="A56" s="63" t="s">
        <v>242</v>
      </c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1:11" x14ac:dyDescent="0.2">
      <c r="A57" s="15" t="s">
        <v>257</v>
      </c>
      <c r="B57" s="15" t="s">
        <v>19</v>
      </c>
      <c r="C57" s="16">
        <f>IF(ISBLANK(B57),0,IF(ISERROR(VALUE(B57)),VLOOKUP(B57,dagsoorttabel1,2,FALSE)*dagenperjaar1,VALUE(B57)))</f>
        <v>40</v>
      </c>
      <c r="D57" s="15" t="s">
        <v>244</v>
      </c>
      <c r="E57" s="19"/>
      <c r="F57" s="18"/>
      <c r="G57" s="64"/>
      <c r="H57" s="30">
        <f>IF(ISBLANK(G57),0,G57*C57)+IF(ISBLANK(F57),0,F57*objecturen1_2)</f>
        <v>0</v>
      </c>
      <c r="I57" s="30">
        <f>IF(C57=0,0,H57/C57)</f>
        <v>0</v>
      </c>
      <c r="J57" s="32">
        <f>IF(ISBLANK(E57),0,ROUND(E57,2)*H57)</f>
        <v>0</v>
      </c>
      <c r="K57" s="32">
        <f>J57/12</f>
        <v>0</v>
      </c>
    </row>
    <row r="58" spans="1:11" x14ac:dyDescent="0.2">
      <c r="A58" s="20"/>
      <c r="B58" s="20"/>
      <c r="C58" s="65">
        <f>dagenperjaar1</f>
        <v>260</v>
      </c>
      <c r="D58" s="66" t="s">
        <v>245</v>
      </c>
      <c r="E58" s="24"/>
      <c r="F58" s="23"/>
      <c r="G58" s="67"/>
      <c r="H58" s="33">
        <f>IF(ISBLANK(G58),0,G58*C58)+IF(ISBLANK(F58),0,F58*objecturen1_2)</f>
        <v>0</v>
      </c>
      <c r="I58" s="33">
        <f>IF(C58=0,0,H58/C58)</f>
        <v>0</v>
      </c>
      <c r="J58" s="35">
        <f>IF(ISBLANK(E58),0,ROUND(E58,2)*H58)</f>
        <v>0</v>
      </c>
      <c r="K58" s="35">
        <f>J58/12</f>
        <v>0</v>
      </c>
    </row>
    <row r="59" spans="1:11" x14ac:dyDescent="0.2">
      <c r="A59" s="20"/>
      <c r="B59" s="20"/>
      <c r="C59" s="65">
        <f>dagenperjaar1</f>
        <v>260</v>
      </c>
      <c r="D59" s="66" t="s">
        <v>245</v>
      </c>
      <c r="E59" s="24"/>
      <c r="F59" s="23"/>
      <c r="G59" s="67"/>
      <c r="H59" s="33">
        <f>IF(ISBLANK(G59),0,G59*C59)+IF(ISBLANK(F59),0,F59*objecturen1_2)</f>
        <v>0</v>
      </c>
      <c r="I59" s="33">
        <f>IF(C59=0,0,H59/C59)</f>
        <v>0</v>
      </c>
      <c r="J59" s="35">
        <f>IF(ISBLANK(E59),0,ROUND(E59,2)*H59)</f>
        <v>0</v>
      </c>
      <c r="K59" s="35">
        <f>J59/12</f>
        <v>0</v>
      </c>
    </row>
    <row r="60" spans="1:11" x14ac:dyDescent="0.2">
      <c r="A60" s="20"/>
      <c r="B60" s="20"/>
      <c r="C60" s="65">
        <f>dagenperjaar1</f>
        <v>260</v>
      </c>
      <c r="D60" s="66" t="s">
        <v>246</v>
      </c>
      <c r="E60" s="24"/>
      <c r="F60" s="68"/>
      <c r="G60" s="22"/>
      <c r="H60" s="33">
        <f>IF(ISBLANK(G60),0,G60*C60)+IF(ISBLANK(F60),0,F60*objecturen1_2)</f>
        <v>0</v>
      </c>
      <c r="I60" s="33">
        <f>IF(C60=0,0,H60/C60)</f>
        <v>0</v>
      </c>
      <c r="J60" s="35">
        <f>IF(ISBLANK(E60),0,ROUND(E60,2)*H60)</f>
        <v>0</v>
      </c>
      <c r="K60" s="35">
        <f>J60/12</f>
        <v>0</v>
      </c>
    </row>
    <row r="61" spans="1:11" x14ac:dyDescent="0.2">
      <c r="A61" s="25"/>
      <c r="B61" s="25"/>
      <c r="C61" s="69">
        <f>dagenperjaar1</f>
        <v>260</v>
      </c>
      <c r="D61" s="70" t="s">
        <v>246</v>
      </c>
      <c r="E61" s="29"/>
      <c r="F61" s="71"/>
      <c r="G61" s="27"/>
      <c r="H61" s="37">
        <f>IF(ISBLANK(G61),0,G61*C61)+IF(ISBLANK(F61),0,F61*objecturen1_2)</f>
        <v>0</v>
      </c>
      <c r="I61" s="37">
        <f>IF(C61=0,0,H61/C61)</f>
        <v>0</v>
      </c>
      <c r="J61" s="39">
        <f>IF(ISBLANK(E61),0,ROUND(E61,2)*H61)</f>
        <v>0</v>
      </c>
      <c r="K61" s="39">
        <f>J61/12</f>
        <v>0</v>
      </c>
    </row>
    <row r="62" spans="1:11" x14ac:dyDescent="0.2">
      <c r="A62" s="72" t="s">
        <v>247</v>
      </c>
      <c r="B62" s="41"/>
      <c r="C62" s="41"/>
      <c r="D62" s="41"/>
      <c r="E62" s="41"/>
      <c r="F62" s="41"/>
      <c r="G62" s="41"/>
      <c r="H62" s="42">
        <f>SUM(H57:H61)</f>
        <v>0</v>
      </c>
      <c r="I62" s="41"/>
      <c r="J62" s="43">
        <f>SUM(J57:J61)</f>
        <v>0</v>
      </c>
      <c r="K62" s="44">
        <f>SUM(K57:K61)</f>
        <v>0</v>
      </c>
    </row>
    <row r="63" spans="1:11" x14ac:dyDescent="0.2">
      <c r="A63" s="45"/>
      <c r="B63" s="41"/>
      <c r="C63" s="41"/>
      <c r="D63" s="41"/>
      <c r="E63" s="41"/>
      <c r="F63" s="41"/>
      <c r="G63" s="41"/>
      <c r="H63" s="41"/>
      <c r="I63" s="41"/>
      <c r="J63" s="41"/>
      <c r="K63" s="46"/>
    </row>
    <row r="64" spans="1:11" x14ac:dyDescent="0.2">
      <c r="A64" s="40" t="s">
        <v>258</v>
      </c>
      <c r="B64" s="41"/>
      <c r="C64" s="41"/>
      <c r="D64" s="41"/>
      <c r="E64" s="41"/>
      <c r="F64" s="41"/>
      <c r="G64" s="41"/>
      <c r="H64" s="42">
        <f>tzujt1_2</f>
        <v>0</v>
      </c>
      <c r="I64" s="41"/>
      <c r="J64" s="43">
        <f>tzpjt1_2</f>
        <v>0</v>
      </c>
      <c r="K64" s="44">
        <f>tzpmt1_2</f>
        <v>0</v>
      </c>
    </row>
    <row r="65" spans="1:11" x14ac:dyDescent="0.2">
      <c r="A65" s="45"/>
      <c r="B65" s="41"/>
      <c r="C65" s="41"/>
      <c r="D65" s="41"/>
      <c r="E65" s="41"/>
      <c r="F65" s="41"/>
      <c r="G65" s="41"/>
      <c r="H65" s="41"/>
      <c r="I65" s="41"/>
      <c r="J65" s="41"/>
      <c r="K65" s="46"/>
    </row>
    <row r="67" spans="1:11" x14ac:dyDescent="0.2">
      <c r="A67" s="40" t="s">
        <v>259</v>
      </c>
      <c r="B67" s="41"/>
      <c r="C67" s="41"/>
      <c r="D67" s="41"/>
      <c r="E67" s="41"/>
      <c r="F67" s="41"/>
      <c r="G67" s="41"/>
      <c r="H67" s="42">
        <f>tzujt1</f>
        <v>0</v>
      </c>
      <c r="I67" s="41"/>
      <c r="J67" s="43">
        <f>tzpjt1</f>
        <v>0</v>
      </c>
      <c r="K67" s="43">
        <f>tzpmt1</f>
        <v>0</v>
      </c>
    </row>
    <row r="69" spans="1:11" x14ac:dyDescent="0.2">
      <c r="A69" s="40" t="s">
        <v>260</v>
      </c>
      <c r="B69" s="41"/>
      <c r="C69" s="41"/>
      <c r="D69" s="41"/>
      <c r="E69" s="41"/>
      <c r="F69" s="41"/>
      <c r="G69" s="41"/>
      <c r="H69" s="41"/>
      <c r="I69" s="41"/>
      <c r="J69" s="43">
        <f>J67*1.21</f>
        <v>0</v>
      </c>
      <c r="K69" s="43">
        <f>K67*1.21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07A0-DA96-47F6-AB58-E8F712DE9904}">
  <dimension ref="A1:K10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5" width="12.625" customWidth="1"/>
    <col min="6" max="11" width="13.625" customWidth="1"/>
  </cols>
  <sheetData>
    <row r="1" spans="1:11" x14ac:dyDescent="0.2">
      <c r="A1" s="1" t="str">
        <f>CONCATENATE("Bijlage H.5: ",tabeltype," totaalblad objecten")</f>
        <v>Bijlage H.5: Invultabel totaalblad objecten</v>
      </c>
    </row>
    <row r="3" spans="1:11" ht="38.25" x14ac:dyDescent="0.2">
      <c r="A3" s="8" t="s">
        <v>203</v>
      </c>
      <c r="B3" s="8" t="s">
        <v>204</v>
      </c>
      <c r="C3" s="8" t="s">
        <v>205</v>
      </c>
      <c r="D3" s="8" t="s">
        <v>206</v>
      </c>
      <c r="E3" s="8" t="s">
        <v>129</v>
      </c>
      <c r="F3" s="8" t="s">
        <v>261</v>
      </c>
      <c r="G3" s="8" t="s">
        <v>262</v>
      </c>
      <c r="H3" s="8" t="s">
        <v>263</v>
      </c>
      <c r="I3" s="8" t="s">
        <v>264</v>
      </c>
      <c r="J3" s="8" t="s">
        <v>265</v>
      </c>
      <c r="K3" s="8" t="s">
        <v>266</v>
      </c>
    </row>
    <row r="4" spans="1:11" x14ac:dyDescent="0.2">
      <c r="A4" s="15" t="s">
        <v>215</v>
      </c>
      <c r="B4" s="15" t="s">
        <v>216</v>
      </c>
      <c r="C4" s="15" t="s">
        <v>217</v>
      </c>
      <c r="D4" s="15" t="s">
        <v>218</v>
      </c>
      <c r="E4" s="30">
        <f>objecturen1_1</f>
        <v>0</v>
      </c>
      <c r="F4" s="32">
        <f>objectprijs1_1</f>
        <v>0</v>
      </c>
      <c r="G4" s="30">
        <f>tzujt1_1</f>
        <v>0</v>
      </c>
      <c r="H4" s="32">
        <f>tzpjt1_1</f>
        <v>0</v>
      </c>
      <c r="I4" s="32">
        <f>F4+H4</f>
        <v>0</v>
      </c>
      <c r="J4" s="32">
        <f>I4/12</f>
        <v>0</v>
      </c>
      <c r="K4" s="32">
        <f>J4*1.21</f>
        <v>0</v>
      </c>
    </row>
    <row r="5" spans="1:11" x14ac:dyDescent="0.2">
      <c r="A5" s="20" t="s">
        <v>219</v>
      </c>
      <c r="B5" s="20" t="s">
        <v>220</v>
      </c>
      <c r="C5" s="20" t="s">
        <v>221</v>
      </c>
      <c r="D5" s="20" t="s">
        <v>218</v>
      </c>
      <c r="E5" s="33">
        <f>objecturen2_1</f>
        <v>0</v>
      </c>
      <c r="F5" s="35">
        <f>objectprijs2_1</f>
        <v>0</v>
      </c>
      <c r="G5" s="33">
        <f>tzujt2_1</f>
        <v>0</v>
      </c>
      <c r="H5" s="35">
        <f>tzpjt2_1</f>
        <v>0</v>
      </c>
      <c r="I5" s="35">
        <f>F5+H5</f>
        <v>0</v>
      </c>
      <c r="J5" s="35">
        <f>I5/12</f>
        <v>0</v>
      </c>
      <c r="K5" s="35">
        <f>J5*1.21</f>
        <v>0</v>
      </c>
    </row>
    <row r="6" spans="1:11" x14ac:dyDescent="0.2">
      <c r="A6" s="20" t="s">
        <v>222</v>
      </c>
      <c r="B6" s="20" t="s">
        <v>220</v>
      </c>
      <c r="C6" s="20" t="s">
        <v>223</v>
      </c>
      <c r="D6" s="20" t="s">
        <v>218</v>
      </c>
      <c r="E6" s="33">
        <f>objecturen3_1</f>
        <v>0</v>
      </c>
      <c r="F6" s="35">
        <f>objectprijs3_1</f>
        <v>0</v>
      </c>
      <c r="G6" s="33">
        <f>tzujt3_1</f>
        <v>0</v>
      </c>
      <c r="H6" s="35">
        <f>tzpjt3_1</f>
        <v>0</v>
      </c>
      <c r="I6" s="35">
        <f>F6+H6</f>
        <v>0</v>
      </c>
      <c r="J6" s="35">
        <f>I6/12</f>
        <v>0</v>
      </c>
      <c r="K6" s="35">
        <f>J6*1.21</f>
        <v>0</v>
      </c>
    </row>
    <row r="7" spans="1:11" x14ac:dyDescent="0.2">
      <c r="A7" s="20" t="s">
        <v>224</v>
      </c>
      <c r="B7" s="20" t="s">
        <v>225</v>
      </c>
      <c r="C7" s="20" t="s">
        <v>226</v>
      </c>
      <c r="D7" s="20" t="s">
        <v>227</v>
      </c>
      <c r="E7" s="33">
        <f>objecturen4_1</f>
        <v>0</v>
      </c>
      <c r="F7" s="35">
        <f>objectprijs4_1</f>
        <v>0</v>
      </c>
      <c r="G7" s="33">
        <f>tzujt4_1</f>
        <v>0</v>
      </c>
      <c r="H7" s="35">
        <f>tzpjt4_1</f>
        <v>0</v>
      </c>
      <c r="I7" s="35">
        <f>F7+H7</f>
        <v>0</v>
      </c>
      <c r="J7" s="35">
        <f>I7/12</f>
        <v>0</v>
      </c>
      <c r="K7" s="35">
        <f>J7*1.21</f>
        <v>0</v>
      </c>
    </row>
    <row r="8" spans="1:11" x14ac:dyDescent="0.2">
      <c r="A8" s="25" t="s">
        <v>228</v>
      </c>
      <c r="B8" s="25" t="s">
        <v>229</v>
      </c>
      <c r="C8" s="25" t="s">
        <v>230</v>
      </c>
      <c r="D8" s="25" t="s">
        <v>218</v>
      </c>
      <c r="E8" s="37">
        <f>objecturen5_1</f>
        <v>0</v>
      </c>
      <c r="F8" s="39">
        <f>objectprijs5_1</f>
        <v>0</v>
      </c>
      <c r="G8" s="37">
        <f>tzujt5_1</f>
        <v>0</v>
      </c>
      <c r="H8" s="39">
        <f>tzpjt5_1</f>
        <v>0</v>
      </c>
      <c r="I8" s="39">
        <f>F8+H8</f>
        <v>0</v>
      </c>
      <c r="J8" s="39">
        <f>I8/12</f>
        <v>0</v>
      </c>
      <c r="K8" s="39">
        <f>J8*1.21</f>
        <v>0</v>
      </c>
    </row>
    <row r="10" spans="1:11" x14ac:dyDescent="0.2">
      <c r="A10" s="40" t="s">
        <v>267</v>
      </c>
      <c r="B10" s="41"/>
      <c r="C10" s="41"/>
      <c r="D10" s="41"/>
      <c r="E10" s="42">
        <f>SUM(E4:E8)</f>
        <v>0</v>
      </c>
      <c r="F10" s="43">
        <f>SUM(F4:F8)</f>
        <v>0</v>
      </c>
      <c r="G10" s="42">
        <f>SUM(G4:G8)</f>
        <v>0</v>
      </c>
      <c r="H10" s="43">
        <f>SUM(H4:H8)</f>
        <v>0</v>
      </c>
      <c r="I10" s="43">
        <f>SUM(I4:I8)</f>
        <v>0</v>
      </c>
      <c r="J10" s="43">
        <f>SUM(J4:J8)</f>
        <v>0</v>
      </c>
      <c r="K10" s="43">
        <f>SUM(K4:K8)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E295-208B-4B72-91CF-B5693A91CBA6}">
  <dimension ref="A1:L13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H.6: ",tabeltype," afroep")</f>
        <v>Bijlage H.6: Invultabel afroep</v>
      </c>
    </row>
    <row r="3" spans="1:12" ht="38.25" x14ac:dyDescent="0.2">
      <c r="A3" s="8" t="s">
        <v>268</v>
      </c>
      <c r="B3" s="8" t="s">
        <v>7</v>
      </c>
      <c r="C3" s="8" t="s">
        <v>269</v>
      </c>
      <c r="D3" s="8" t="s">
        <v>31</v>
      </c>
      <c r="E3" s="8" t="s">
        <v>34</v>
      </c>
      <c r="F3" s="8" t="s">
        <v>270</v>
      </c>
      <c r="G3" s="8" t="s">
        <v>271</v>
      </c>
      <c r="H3" s="8" t="s">
        <v>272</v>
      </c>
      <c r="I3" s="8" t="s">
        <v>273</v>
      </c>
      <c r="J3" s="8" t="s">
        <v>274</v>
      </c>
      <c r="K3" s="8" t="s">
        <v>130</v>
      </c>
      <c r="L3" s="8" t="s">
        <v>214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275</v>
      </c>
      <c r="B6" s="15" t="s">
        <v>22</v>
      </c>
      <c r="C6" s="16">
        <f>IF(ISBLANK(B6),0,IF(ISERROR(VALUE(B6)),VLOOKUP(B6,dagsoorttabel1,2,FALSE)*dagenperjaar1,VALUE(B6)))</f>
        <v>10</v>
      </c>
      <c r="D6" s="15" t="s">
        <v>276</v>
      </c>
      <c r="E6" s="15" t="s">
        <v>277</v>
      </c>
      <c r="F6" s="73">
        <v>6</v>
      </c>
      <c r="G6" s="19"/>
      <c r="H6" s="74"/>
      <c r="I6" s="19"/>
      <c r="J6" s="32">
        <f>IF(ISBLANK(F6),0,F6)*I6</f>
        <v>0</v>
      </c>
      <c r="K6" s="32">
        <f>C6*J6</f>
        <v>0</v>
      </c>
      <c r="L6" s="32">
        <f>K6/12</f>
        <v>0</v>
      </c>
    </row>
    <row r="7" spans="1:12" x14ac:dyDescent="0.2">
      <c r="A7" s="20" t="s">
        <v>278</v>
      </c>
      <c r="B7" s="20" t="s">
        <v>22</v>
      </c>
      <c r="C7" s="21">
        <f>IF(ISBLANK(B7),0,IF(ISERROR(VALUE(B7)),VLOOKUP(B7,dagsoorttabel1,2,FALSE)*dagenperjaar1,VALUE(B7)))</f>
        <v>10</v>
      </c>
      <c r="D7" s="20" t="s">
        <v>279</v>
      </c>
      <c r="E7" s="20" t="s">
        <v>277</v>
      </c>
      <c r="F7" s="75">
        <v>2</v>
      </c>
      <c r="G7" s="24"/>
      <c r="H7" s="76"/>
      <c r="I7" s="24"/>
      <c r="J7" s="35">
        <f>IF(ISBLANK(F7),0,F7)*I7</f>
        <v>0</v>
      </c>
      <c r="K7" s="35">
        <f>C7*J7</f>
        <v>0</v>
      </c>
      <c r="L7" s="35">
        <f>K7/12</f>
        <v>0</v>
      </c>
    </row>
    <row r="8" spans="1:12" x14ac:dyDescent="0.2">
      <c r="A8" s="20" t="s">
        <v>280</v>
      </c>
      <c r="B8" s="20" t="s">
        <v>22</v>
      </c>
      <c r="C8" s="21">
        <f>IF(ISBLANK(B8),0,IF(ISERROR(VALUE(B8)),VLOOKUP(B8,dagsoorttabel1,2,FALSE)*dagenperjaar1,VALUE(B8)))</f>
        <v>10</v>
      </c>
      <c r="D8" s="20" t="s">
        <v>281</v>
      </c>
      <c r="E8" s="20" t="s">
        <v>277</v>
      </c>
      <c r="F8" s="75">
        <v>10</v>
      </c>
      <c r="G8" s="24"/>
      <c r="H8" s="76"/>
      <c r="I8" s="24"/>
      <c r="J8" s="35">
        <f>IF(ISBLANK(F8),0,F8)*I8</f>
        <v>0</v>
      </c>
      <c r="K8" s="35">
        <f>C8*J8</f>
        <v>0</v>
      </c>
      <c r="L8" s="35">
        <f>K8/12</f>
        <v>0</v>
      </c>
    </row>
    <row r="9" spans="1:12" x14ac:dyDescent="0.2">
      <c r="A9" s="20" t="s">
        <v>282</v>
      </c>
      <c r="B9" s="20" t="s">
        <v>22</v>
      </c>
      <c r="C9" s="21">
        <f>IF(ISBLANK(B9),0,IF(ISERROR(VALUE(B9)),VLOOKUP(B9,dagsoorttabel1,2,FALSE)*dagenperjaar1,VALUE(B9)))</f>
        <v>10</v>
      </c>
      <c r="D9" s="20" t="s">
        <v>283</v>
      </c>
      <c r="E9" s="20" t="s">
        <v>277</v>
      </c>
      <c r="F9" s="75">
        <v>15</v>
      </c>
      <c r="G9" s="24"/>
      <c r="H9" s="76"/>
      <c r="I9" s="24"/>
      <c r="J9" s="35">
        <f>IF(ISBLANK(F9),0,F9)*I9</f>
        <v>0</v>
      </c>
      <c r="K9" s="35">
        <f>C9*J9</f>
        <v>0</v>
      </c>
      <c r="L9" s="35">
        <f>K9/12</f>
        <v>0</v>
      </c>
    </row>
    <row r="10" spans="1:12" x14ac:dyDescent="0.2">
      <c r="A10" s="25" t="s">
        <v>282</v>
      </c>
      <c r="B10" s="25" t="s">
        <v>27</v>
      </c>
      <c r="C10" s="26">
        <f>IF(ISBLANK(B10),0,IF(ISERROR(VALUE(B10)),VLOOKUP(B10,dagsoorttabel1,2,FALSE)*dagenperjaar1,VALUE(B10)))</f>
        <v>1</v>
      </c>
      <c r="D10" s="25" t="s">
        <v>284</v>
      </c>
      <c r="E10" s="25" t="s">
        <v>285</v>
      </c>
      <c r="F10" s="77">
        <v>2000</v>
      </c>
      <c r="G10" s="29"/>
      <c r="H10" s="78"/>
      <c r="I10" s="29"/>
      <c r="J10" s="39">
        <f>IF(ISBLANK(F10),0,F10)*I10</f>
        <v>0</v>
      </c>
      <c r="K10" s="39">
        <f>C10*J10</f>
        <v>0</v>
      </c>
      <c r="L10" s="39">
        <f>K10/12</f>
        <v>0</v>
      </c>
    </row>
    <row r="11" spans="1:12" x14ac:dyDescent="0.2">
      <c r="A11" s="40" t="s">
        <v>187</v>
      </c>
      <c r="B11" s="41"/>
      <c r="C11" s="41"/>
      <c r="D11" s="41"/>
      <c r="E11" s="41"/>
      <c r="F11" s="41"/>
      <c r="G11" s="41"/>
      <c r="H11" s="41"/>
      <c r="I11" s="41"/>
      <c r="J11" s="41"/>
      <c r="K11" s="43">
        <f>SUM(K6:K10)</f>
        <v>0</v>
      </c>
      <c r="L11" s="79">
        <f>K11/12</f>
        <v>0</v>
      </c>
    </row>
    <row r="13" spans="1:12" x14ac:dyDescent="0.2">
      <c r="A13" s="40" t="s">
        <v>286</v>
      </c>
      <c r="B13" s="41"/>
      <c r="C13" s="41"/>
      <c r="D13" s="41"/>
      <c r="E13" s="41"/>
      <c r="F13" s="41"/>
      <c r="G13" s="41"/>
      <c r="H13" s="41"/>
      <c r="I13" s="41"/>
      <c r="J13" s="41"/>
      <c r="K13" s="43">
        <f>prijsjaarafroep1</f>
        <v>0</v>
      </c>
      <c r="L13" s="79">
        <f>K13/12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EB7D-AEB3-419F-B31D-28EA6550559E}">
  <dimension ref="A1:E86"/>
  <sheetViews>
    <sheetView tabSelected="1" workbookViewId="0">
      <selection activeCell="B10" sqref="B10"/>
    </sheetView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H.7: ",tabeltype," afroep incidenteel")</f>
        <v>Bijlage H.7: Invultabel afroep incidenteel</v>
      </c>
    </row>
    <row r="3" spans="1:5" ht="38.25" x14ac:dyDescent="0.2">
      <c r="A3" s="8" t="s">
        <v>268</v>
      </c>
      <c r="B3" s="8" t="s">
        <v>31</v>
      </c>
      <c r="C3" s="8" t="s">
        <v>34</v>
      </c>
      <c r="D3" s="8" t="s">
        <v>287</v>
      </c>
      <c r="E3" s="8" t="s">
        <v>273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36</v>
      </c>
      <c r="B5" s="13"/>
      <c r="C5" s="13"/>
      <c r="D5" s="13"/>
      <c r="E5" s="14"/>
    </row>
    <row r="6" spans="1:5" x14ac:dyDescent="0.2">
      <c r="A6" s="15" t="s">
        <v>288</v>
      </c>
      <c r="B6" s="15" t="s">
        <v>289</v>
      </c>
      <c r="C6" s="15" t="s">
        <v>290</v>
      </c>
      <c r="D6" s="15" t="s">
        <v>291</v>
      </c>
      <c r="E6" s="19"/>
    </row>
    <row r="7" spans="1:5" x14ac:dyDescent="0.2">
      <c r="A7" s="20" t="s">
        <v>292</v>
      </c>
      <c r="B7" s="20" t="s">
        <v>289</v>
      </c>
      <c r="C7" s="20" t="s">
        <v>290</v>
      </c>
      <c r="D7" s="20" t="s">
        <v>293</v>
      </c>
      <c r="E7" s="24"/>
    </row>
    <row r="8" spans="1:5" x14ac:dyDescent="0.2">
      <c r="A8" s="20" t="s">
        <v>294</v>
      </c>
      <c r="B8" s="20" t="s">
        <v>289</v>
      </c>
      <c r="C8" s="20" t="s">
        <v>290</v>
      </c>
      <c r="D8" s="20" t="s">
        <v>295</v>
      </c>
      <c r="E8" s="24"/>
    </row>
    <row r="9" spans="1:5" x14ac:dyDescent="0.2">
      <c r="A9" s="20" t="s">
        <v>296</v>
      </c>
      <c r="B9" s="20" t="s">
        <v>289</v>
      </c>
      <c r="C9" s="20" t="s">
        <v>290</v>
      </c>
      <c r="D9" s="20" t="s">
        <v>297</v>
      </c>
      <c r="E9" s="24"/>
    </row>
    <row r="10" spans="1:5" x14ac:dyDescent="0.2">
      <c r="A10" s="20" t="s">
        <v>298</v>
      </c>
      <c r="B10" s="20" t="s">
        <v>299</v>
      </c>
      <c r="C10" s="20" t="s">
        <v>290</v>
      </c>
      <c r="D10" s="20" t="s">
        <v>291</v>
      </c>
      <c r="E10" s="24"/>
    </row>
    <row r="11" spans="1:5" x14ac:dyDescent="0.2">
      <c r="A11" s="20" t="s">
        <v>300</v>
      </c>
      <c r="B11" s="20" t="s">
        <v>299</v>
      </c>
      <c r="C11" s="20" t="s">
        <v>290</v>
      </c>
      <c r="D11" s="20" t="s">
        <v>293</v>
      </c>
      <c r="E11" s="24"/>
    </row>
    <row r="12" spans="1:5" x14ac:dyDescent="0.2">
      <c r="A12" s="20" t="s">
        <v>301</v>
      </c>
      <c r="B12" s="20" t="s">
        <v>299</v>
      </c>
      <c r="C12" s="20" t="s">
        <v>290</v>
      </c>
      <c r="D12" s="20" t="s">
        <v>295</v>
      </c>
      <c r="E12" s="24"/>
    </row>
    <row r="13" spans="1:5" x14ac:dyDescent="0.2">
      <c r="A13" s="20" t="s">
        <v>302</v>
      </c>
      <c r="B13" s="20" t="s">
        <v>299</v>
      </c>
      <c r="C13" s="20" t="s">
        <v>290</v>
      </c>
      <c r="D13" s="20" t="s">
        <v>297</v>
      </c>
      <c r="E13" s="24"/>
    </row>
    <row r="14" spans="1:5" x14ac:dyDescent="0.2">
      <c r="A14" s="20" t="s">
        <v>303</v>
      </c>
      <c r="B14" s="20" t="s">
        <v>304</v>
      </c>
      <c r="C14" s="20" t="s">
        <v>290</v>
      </c>
      <c r="D14" s="20" t="s">
        <v>291</v>
      </c>
      <c r="E14" s="24"/>
    </row>
    <row r="15" spans="1:5" x14ac:dyDescent="0.2">
      <c r="A15" s="20" t="s">
        <v>305</v>
      </c>
      <c r="B15" s="20" t="s">
        <v>304</v>
      </c>
      <c r="C15" s="20" t="s">
        <v>290</v>
      </c>
      <c r="D15" s="20" t="s">
        <v>293</v>
      </c>
      <c r="E15" s="24"/>
    </row>
    <row r="16" spans="1:5" x14ac:dyDescent="0.2">
      <c r="A16" s="20" t="s">
        <v>306</v>
      </c>
      <c r="B16" s="20" t="s">
        <v>304</v>
      </c>
      <c r="C16" s="20" t="s">
        <v>290</v>
      </c>
      <c r="D16" s="20" t="s">
        <v>295</v>
      </c>
      <c r="E16" s="24"/>
    </row>
    <row r="17" spans="1:5" x14ac:dyDescent="0.2">
      <c r="A17" s="20" t="s">
        <v>307</v>
      </c>
      <c r="B17" s="20" t="s">
        <v>304</v>
      </c>
      <c r="C17" s="20" t="s">
        <v>290</v>
      </c>
      <c r="D17" s="20" t="s">
        <v>297</v>
      </c>
      <c r="E17" s="24"/>
    </row>
    <row r="18" spans="1:5" x14ac:dyDescent="0.2">
      <c r="A18" s="20" t="s">
        <v>308</v>
      </c>
      <c r="B18" s="20" t="s">
        <v>309</v>
      </c>
      <c r="C18" s="20" t="s">
        <v>285</v>
      </c>
      <c r="D18" s="20" t="s">
        <v>310</v>
      </c>
      <c r="E18" s="24"/>
    </row>
    <row r="19" spans="1:5" x14ac:dyDescent="0.2">
      <c r="A19" s="20" t="s">
        <v>311</v>
      </c>
      <c r="B19" s="20" t="s">
        <v>309</v>
      </c>
      <c r="C19" s="20" t="s">
        <v>285</v>
      </c>
      <c r="D19" s="20" t="s">
        <v>312</v>
      </c>
      <c r="E19" s="24"/>
    </row>
    <row r="20" spans="1:5" x14ac:dyDescent="0.2">
      <c r="A20" s="20" t="s">
        <v>313</v>
      </c>
      <c r="B20" s="20" t="s">
        <v>309</v>
      </c>
      <c r="C20" s="20" t="s">
        <v>285</v>
      </c>
      <c r="D20" s="20" t="s">
        <v>314</v>
      </c>
      <c r="E20" s="24"/>
    </row>
    <row r="21" spans="1:5" x14ac:dyDescent="0.2">
      <c r="A21" s="20" t="s">
        <v>315</v>
      </c>
      <c r="B21" s="20" t="s">
        <v>309</v>
      </c>
      <c r="C21" s="20" t="s">
        <v>285</v>
      </c>
      <c r="D21" s="20" t="s">
        <v>316</v>
      </c>
      <c r="E21" s="24"/>
    </row>
    <row r="22" spans="1:5" x14ac:dyDescent="0.2">
      <c r="A22" s="20" t="s">
        <v>317</v>
      </c>
      <c r="B22" s="20" t="s">
        <v>318</v>
      </c>
      <c r="C22" s="20" t="s">
        <v>285</v>
      </c>
      <c r="D22" s="20" t="s">
        <v>310</v>
      </c>
      <c r="E22" s="24"/>
    </row>
    <row r="23" spans="1:5" x14ac:dyDescent="0.2">
      <c r="A23" s="20" t="s">
        <v>319</v>
      </c>
      <c r="B23" s="20" t="s">
        <v>318</v>
      </c>
      <c r="C23" s="20" t="s">
        <v>285</v>
      </c>
      <c r="D23" s="20" t="s">
        <v>312</v>
      </c>
      <c r="E23" s="24"/>
    </row>
    <row r="24" spans="1:5" x14ac:dyDescent="0.2">
      <c r="A24" s="20" t="s">
        <v>320</v>
      </c>
      <c r="B24" s="20" t="s">
        <v>318</v>
      </c>
      <c r="C24" s="20" t="s">
        <v>285</v>
      </c>
      <c r="D24" s="20" t="s">
        <v>314</v>
      </c>
      <c r="E24" s="24"/>
    </row>
    <row r="25" spans="1:5" x14ac:dyDescent="0.2">
      <c r="A25" s="20" t="s">
        <v>321</v>
      </c>
      <c r="B25" s="20" t="s">
        <v>318</v>
      </c>
      <c r="C25" s="20" t="s">
        <v>285</v>
      </c>
      <c r="D25" s="20" t="s">
        <v>316</v>
      </c>
      <c r="E25" s="24"/>
    </row>
    <row r="26" spans="1:5" x14ac:dyDescent="0.2">
      <c r="A26" s="20" t="s">
        <v>322</v>
      </c>
      <c r="B26" s="20" t="s">
        <v>323</v>
      </c>
      <c r="C26" s="20" t="s">
        <v>285</v>
      </c>
      <c r="D26" s="20" t="s">
        <v>310</v>
      </c>
      <c r="E26" s="24"/>
    </row>
    <row r="27" spans="1:5" x14ac:dyDescent="0.2">
      <c r="A27" s="20" t="s">
        <v>324</v>
      </c>
      <c r="B27" s="20" t="s">
        <v>323</v>
      </c>
      <c r="C27" s="20" t="s">
        <v>285</v>
      </c>
      <c r="D27" s="20" t="s">
        <v>312</v>
      </c>
      <c r="E27" s="24"/>
    </row>
    <row r="28" spans="1:5" x14ac:dyDescent="0.2">
      <c r="A28" s="20" t="s">
        <v>325</v>
      </c>
      <c r="B28" s="20" t="s">
        <v>323</v>
      </c>
      <c r="C28" s="20" t="s">
        <v>285</v>
      </c>
      <c r="D28" s="20" t="s">
        <v>314</v>
      </c>
      <c r="E28" s="24"/>
    </row>
    <row r="29" spans="1:5" x14ac:dyDescent="0.2">
      <c r="A29" s="20" t="s">
        <v>326</v>
      </c>
      <c r="B29" s="20" t="s">
        <v>323</v>
      </c>
      <c r="C29" s="20" t="s">
        <v>285</v>
      </c>
      <c r="D29" s="20" t="s">
        <v>316</v>
      </c>
      <c r="E29" s="24"/>
    </row>
    <row r="30" spans="1:5" x14ac:dyDescent="0.2">
      <c r="A30" s="20" t="s">
        <v>327</v>
      </c>
      <c r="B30" s="20" t="s">
        <v>328</v>
      </c>
      <c r="C30" s="20" t="s">
        <v>285</v>
      </c>
      <c r="D30" s="20" t="s">
        <v>310</v>
      </c>
      <c r="E30" s="24"/>
    </row>
    <row r="31" spans="1:5" x14ac:dyDescent="0.2">
      <c r="A31" s="20" t="s">
        <v>329</v>
      </c>
      <c r="B31" s="20" t="s">
        <v>328</v>
      </c>
      <c r="C31" s="20" t="s">
        <v>285</v>
      </c>
      <c r="D31" s="20" t="s">
        <v>312</v>
      </c>
      <c r="E31" s="24"/>
    </row>
    <row r="32" spans="1:5" x14ac:dyDescent="0.2">
      <c r="A32" s="20" t="s">
        <v>330</v>
      </c>
      <c r="B32" s="20" t="s">
        <v>328</v>
      </c>
      <c r="C32" s="20" t="s">
        <v>285</v>
      </c>
      <c r="D32" s="20" t="s">
        <v>314</v>
      </c>
      <c r="E32" s="24"/>
    </row>
    <row r="33" spans="1:5" x14ac:dyDescent="0.2">
      <c r="A33" s="20" t="s">
        <v>331</v>
      </c>
      <c r="B33" s="20" t="s">
        <v>328</v>
      </c>
      <c r="C33" s="20" t="s">
        <v>285</v>
      </c>
      <c r="D33" s="20" t="s">
        <v>316</v>
      </c>
      <c r="E33" s="24"/>
    </row>
    <row r="34" spans="1:5" x14ac:dyDescent="0.2">
      <c r="A34" s="20" t="s">
        <v>332</v>
      </c>
      <c r="B34" s="20" t="s">
        <v>333</v>
      </c>
      <c r="C34" s="20" t="s">
        <v>285</v>
      </c>
      <c r="D34" s="20" t="s">
        <v>310</v>
      </c>
      <c r="E34" s="24"/>
    </row>
    <row r="35" spans="1:5" x14ac:dyDescent="0.2">
      <c r="A35" s="20" t="s">
        <v>334</v>
      </c>
      <c r="B35" s="20" t="s">
        <v>333</v>
      </c>
      <c r="C35" s="20" t="s">
        <v>285</v>
      </c>
      <c r="D35" s="20" t="s">
        <v>312</v>
      </c>
      <c r="E35" s="24"/>
    </row>
    <row r="36" spans="1:5" x14ac:dyDescent="0.2">
      <c r="A36" s="20" t="s">
        <v>335</v>
      </c>
      <c r="B36" s="20" t="s">
        <v>333</v>
      </c>
      <c r="C36" s="20" t="s">
        <v>285</v>
      </c>
      <c r="D36" s="20" t="s">
        <v>314</v>
      </c>
      <c r="E36" s="24"/>
    </row>
    <row r="37" spans="1:5" x14ac:dyDescent="0.2">
      <c r="A37" s="20" t="s">
        <v>336</v>
      </c>
      <c r="B37" s="20" t="s">
        <v>333</v>
      </c>
      <c r="C37" s="20" t="s">
        <v>285</v>
      </c>
      <c r="D37" s="20" t="s">
        <v>316</v>
      </c>
      <c r="E37" s="24"/>
    </row>
    <row r="38" spans="1:5" x14ac:dyDescent="0.2">
      <c r="A38" s="20" t="s">
        <v>337</v>
      </c>
      <c r="B38" s="20" t="s">
        <v>338</v>
      </c>
      <c r="C38" s="20" t="s">
        <v>285</v>
      </c>
      <c r="D38" s="20" t="s">
        <v>310</v>
      </c>
      <c r="E38" s="24"/>
    </row>
    <row r="39" spans="1:5" x14ac:dyDescent="0.2">
      <c r="A39" s="20" t="s">
        <v>339</v>
      </c>
      <c r="B39" s="20" t="s">
        <v>338</v>
      </c>
      <c r="C39" s="20" t="s">
        <v>285</v>
      </c>
      <c r="D39" s="20" t="s">
        <v>312</v>
      </c>
      <c r="E39" s="24"/>
    </row>
    <row r="40" spans="1:5" x14ac:dyDescent="0.2">
      <c r="A40" s="20" t="s">
        <v>340</v>
      </c>
      <c r="B40" s="20" t="s">
        <v>338</v>
      </c>
      <c r="C40" s="20" t="s">
        <v>285</v>
      </c>
      <c r="D40" s="20" t="s">
        <v>314</v>
      </c>
      <c r="E40" s="24"/>
    </row>
    <row r="41" spans="1:5" x14ac:dyDescent="0.2">
      <c r="A41" s="20" t="s">
        <v>341</v>
      </c>
      <c r="B41" s="20" t="s">
        <v>338</v>
      </c>
      <c r="C41" s="20" t="s">
        <v>285</v>
      </c>
      <c r="D41" s="20" t="s">
        <v>316</v>
      </c>
      <c r="E41" s="24"/>
    </row>
    <row r="42" spans="1:5" x14ac:dyDescent="0.2">
      <c r="A42" s="20" t="s">
        <v>342</v>
      </c>
      <c r="B42" s="20" t="s">
        <v>343</v>
      </c>
      <c r="C42" s="20" t="s">
        <v>285</v>
      </c>
      <c r="D42" s="20" t="s">
        <v>310</v>
      </c>
      <c r="E42" s="24"/>
    </row>
    <row r="43" spans="1:5" x14ac:dyDescent="0.2">
      <c r="A43" s="20" t="s">
        <v>344</v>
      </c>
      <c r="B43" s="20" t="s">
        <v>343</v>
      </c>
      <c r="C43" s="20" t="s">
        <v>285</v>
      </c>
      <c r="D43" s="20" t="s">
        <v>312</v>
      </c>
      <c r="E43" s="24"/>
    </row>
    <row r="44" spans="1:5" x14ac:dyDescent="0.2">
      <c r="A44" s="20" t="s">
        <v>345</v>
      </c>
      <c r="B44" s="20" t="s">
        <v>343</v>
      </c>
      <c r="C44" s="20" t="s">
        <v>285</v>
      </c>
      <c r="D44" s="20" t="s">
        <v>314</v>
      </c>
      <c r="E44" s="24"/>
    </row>
    <row r="45" spans="1:5" x14ac:dyDescent="0.2">
      <c r="A45" s="20" t="s">
        <v>346</v>
      </c>
      <c r="B45" s="20" t="s">
        <v>343</v>
      </c>
      <c r="C45" s="20" t="s">
        <v>285</v>
      </c>
      <c r="D45" s="20" t="s">
        <v>316</v>
      </c>
      <c r="E45" s="24"/>
    </row>
    <row r="46" spans="1:5" x14ac:dyDescent="0.2">
      <c r="A46" s="20" t="s">
        <v>347</v>
      </c>
      <c r="B46" s="20" t="s">
        <v>348</v>
      </c>
      <c r="C46" s="20" t="s">
        <v>285</v>
      </c>
      <c r="D46" s="20" t="s">
        <v>349</v>
      </c>
      <c r="E46" s="24"/>
    </row>
    <row r="47" spans="1:5" x14ac:dyDescent="0.2">
      <c r="A47" s="20" t="s">
        <v>350</v>
      </c>
      <c r="B47" s="20" t="s">
        <v>351</v>
      </c>
      <c r="C47" s="20" t="s">
        <v>277</v>
      </c>
      <c r="D47" s="20" t="s">
        <v>349</v>
      </c>
      <c r="E47" s="24"/>
    </row>
    <row r="48" spans="1:5" x14ac:dyDescent="0.2">
      <c r="A48" s="20" t="s">
        <v>352</v>
      </c>
      <c r="B48" s="20" t="s">
        <v>353</v>
      </c>
      <c r="C48" s="20" t="s">
        <v>285</v>
      </c>
      <c r="D48" s="20" t="s">
        <v>354</v>
      </c>
      <c r="E48" s="24"/>
    </row>
    <row r="49" spans="1:5" x14ac:dyDescent="0.2">
      <c r="A49" s="20" t="s">
        <v>355</v>
      </c>
      <c r="B49" s="20" t="s">
        <v>353</v>
      </c>
      <c r="C49" s="20" t="s">
        <v>285</v>
      </c>
      <c r="D49" s="20" t="s">
        <v>356</v>
      </c>
      <c r="E49" s="24"/>
    </row>
    <row r="50" spans="1:5" x14ac:dyDescent="0.2">
      <c r="A50" s="20" t="s">
        <v>357</v>
      </c>
      <c r="B50" s="20" t="s">
        <v>353</v>
      </c>
      <c r="C50" s="20" t="s">
        <v>285</v>
      </c>
      <c r="D50" s="20" t="s">
        <v>358</v>
      </c>
      <c r="E50" s="24"/>
    </row>
    <row r="51" spans="1:5" x14ac:dyDescent="0.2">
      <c r="A51" s="20" t="s">
        <v>359</v>
      </c>
      <c r="B51" s="20" t="s">
        <v>353</v>
      </c>
      <c r="C51" s="20" t="s">
        <v>285</v>
      </c>
      <c r="D51" s="20" t="s">
        <v>360</v>
      </c>
      <c r="E51" s="24"/>
    </row>
    <row r="52" spans="1:5" x14ac:dyDescent="0.2">
      <c r="A52" s="20" t="s">
        <v>361</v>
      </c>
      <c r="B52" s="20" t="s">
        <v>362</v>
      </c>
      <c r="C52" s="20" t="s">
        <v>285</v>
      </c>
      <c r="D52" s="20" t="s">
        <v>354</v>
      </c>
      <c r="E52" s="24"/>
    </row>
    <row r="53" spans="1:5" x14ac:dyDescent="0.2">
      <c r="A53" s="20" t="s">
        <v>363</v>
      </c>
      <c r="B53" s="20" t="s">
        <v>362</v>
      </c>
      <c r="C53" s="20" t="s">
        <v>285</v>
      </c>
      <c r="D53" s="20" t="s">
        <v>356</v>
      </c>
      <c r="E53" s="24"/>
    </row>
    <row r="54" spans="1:5" x14ac:dyDescent="0.2">
      <c r="A54" s="20" t="s">
        <v>364</v>
      </c>
      <c r="B54" s="20" t="s">
        <v>362</v>
      </c>
      <c r="C54" s="20" t="s">
        <v>285</v>
      </c>
      <c r="D54" s="20" t="s">
        <v>358</v>
      </c>
      <c r="E54" s="24"/>
    </row>
    <row r="55" spans="1:5" x14ac:dyDescent="0.2">
      <c r="A55" s="20" t="s">
        <v>365</v>
      </c>
      <c r="B55" s="20" t="s">
        <v>362</v>
      </c>
      <c r="C55" s="20" t="s">
        <v>285</v>
      </c>
      <c r="D55" s="20" t="s">
        <v>360</v>
      </c>
      <c r="E55" s="24"/>
    </row>
    <row r="56" spans="1:5" x14ac:dyDescent="0.2">
      <c r="A56" s="20" t="s">
        <v>366</v>
      </c>
      <c r="B56" s="20" t="s">
        <v>367</v>
      </c>
      <c r="C56" s="20" t="s">
        <v>285</v>
      </c>
      <c r="D56" s="20" t="s">
        <v>354</v>
      </c>
      <c r="E56" s="24"/>
    </row>
    <row r="57" spans="1:5" x14ac:dyDescent="0.2">
      <c r="A57" s="20" t="s">
        <v>368</v>
      </c>
      <c r="B57" s="20" t="s">
        <v>367</v>
      </c>
      <c r="C57" s="20" t="s">
        <v>285</v>
      </c>
      <c r="D57" s="20" t="s">
        <v>356</v>
      </c>
      <c r="E57" s="24"/>
    </row>
    <row r="58" spans="1:5" x14ac:dyDescent="0.2">
      <c r="A58" s="20" t="s">
        <v>369</v>
      </c>
      <c r="B58" s="20" t="s">
        <v>367</v>
      </c>
      <c r="C58" s="20" t="s">
        <v>285</v>
      </c>
      <c r="D58" s="20" t="s">
        <v>358</v>
      </c>
      <c r="E58" s="24"/>
    </row>
    <row r="59" spans="1:5" x14ac:dyDescent="0.2">
      <c r="A59" s="20" t="s">
        <v>370</v>
      </c>
      <c r="B59" s="20" t="s">
        <v>367</v>
      </c>
      <c r="C59" s="20" t="s">
        <v>285</v>
      </c>
      <c r="D59" s="20" t="s">
        <v>360</v>
      </c>
      <c r="E59" s="24"/>
    </row>
    <row r="60" spans="1:5" x14ac:dyDescent="0.2">
      <c r="A60" s="20" t="s">
        <v>371</v>
      </c>
      <c r="B60" s="20" t="s">
        <v>372</v>
      </c>
      <c r="C60" s="20" t="s">
        <v>285</v>
      </c>
      <c r="D60" s="20" t="s">
        <v>354</v>
      </c>
      <c r="E60" s="24"/>
    </row>
    <row r="61" spans="1:5" x14ac:dyDescent="0.2">
      <c r="A61" s="20" t="s">
        <v>373</v>
      </c>
      <c r="B61" s="20" t="s">
        <v>372</v>
      </c>
      <c r="C61" s="20" t="s">
        <v>285</v>
      </c>
      <c r="D61" s="20" t="s">
        <v>356</v>
      </c>
      <c r="E61" s="24"/>
    </row>
    <row r="62" spans="1:5" x14ac:dyDescent="0.2">
      <c r="A62" s="20" t="s">
        <v>374</v>
      </c>
      <c r="B62" s="20" t="s">
        <v>372</v>
      </c>
      <c r="C62" s="20" t="s">
        <v>285</v>
      </c>
      <c r="D62" s="20" t="s">
        <v>358</v>
      </c>
      <c r="E62" s="24"/>
    </row>
    <row r="63" spans="1:5" x14ac:dyDescent="0.2">
      <c r="A63" s="20" t="s">
        <v>375</v>
      </c>
      <c r="B63" s="20" t="s">
        <v>372</v>
      </c>
      <c r="C63" s="20" t="s">
        <v>285</v>
      </c>
      <c r="D63" s="20" t="s">
        <v>360</v>
      </c>
      <c r="E63" s="24"/>
    </row>
    <row r="64" spans="1:5" x14ac:dyDescent="0.2">
      <c r="A64" s="20" t="s">
        <v>376</v>
      </c>
      <c r="B64" s="20" t="s">
        <v>377</v>
      </c>
      <c r="C64" s="20" t="s">
        <v>285</v>
      </c>
      <c r="D64" s="20" t="s">
        <v>354</v>
      </c>
      <c r="E64" s="24"/>
    </row>
    <row r="65" spans="1:5" x14ac:dyDescent="0.2">
      <c r="A65" s="20" t="s">
        <v>378</v>
      </c>
      <c r="B65" s="20" t="s">
        <v>377</v>
      </c>
      <c r="C65" s="20" t="s">
        <v>285</v>
      </c>
      <c r="D65" s="20" t="s">
        <v>356</v>
      </c>
      <c r="E65" s="24"/>
    </row>
    <row r="66" spans="1:5" x14ac:dyDescent="0.2">
      <c r="A66" s="20" t="s">
        <v>379</v>
      </c>
      <c r="B66" s="20" t="s">
        <v>377</v>
      </c>
      <c r="C66" s="20" t="s">
        <v>285</v>
      </c>
      <c r="D66" s="20" t="s">
        <v>358</v>
      </c>
      <c r="E66" s="24"/>
    </row>
    <row r="67" spans="1:5" x14ac:dyDescent="0.2">
      <c r="A67" s="20" t="s">
        <v>380</v>
      </c>
      <c r="B67" s="20" t="s">
        <v>377</v>
      </c>
      <c r="C67" s="20" t="s">
        <v>285</v>
      </c>
      <c r="D67" s="20" t="s">
        <v>360</v>
      </c>
      <c r="E67" s="24"/>
    </row>
    <row r="68" spans="1:5" x14ac:dyDescent="0.2">
      <c r="A68" s="20" t="s">
        <v>381</v>
      </c>
      <c r="B68" s="20" t="s">
        <v>382</v>
      </c>
      <c r="C68" s="20" t="s">
        <v>285</v>
      </c>
      <c r="D68" s="20" t="s">
        <v>354</v>
      </c>
      <c r="E68" s="24"/>
    </row>
    <row r="69" spans="1:5" x14ac:dyDescent="0.2">
      <c r="A69" s="20" t="s">
        <v>383</v>
      </c>
      <c r="B69" s="20" t="s">
        <v>382</v>
      </c>
      <c r="C69" s="20" t="s">
        <v>285</v>
      </c>
      <c r="D69" s="20" t="s">
        <v>356</v>
      </c>
      <c r="E69" s="24"/>
    </row>
    <row r="70" spans="1:5" x14ac:dyDescent="0.2">
      <c r="A70" s="20" t="s">
        <v>384</v>
      </c>
      <c r="B70" s="20" t="s">
        <v>382</v>
      </c>
      <c r="C70" s="20" t="s">
        <v>285</v>
      </c>
      <c r="D70" s="20" t="s">
        <v>358</v>
      </c>
      <c r="E70" s="24"/>
    </row>
    <row r="71" spans="1:5" x14ac:dyDescent="0.2">
      <c r="A71" s="20" t="s">
        <v>385</v>
      </c>
      <c r="B71" s="20" t="s">
        <v>382</v>
      </c>
      <c r="C71" s="20" t="s">
        <v>285</v>
      </c>
      <c r="D71" s="20" t="s">
        <v>360</v>
      </c>
      <c r="E71" s="24"/>
    </row>
    <row r="72" spans="1:5" x14ac:dyDescent="0.2">
      <c r="A72" s="20" t="s">
        <v>386</v>
      </c>
      <c r="B72" s="20" t="s">
        <v>284</v>
      </c>
      <c r="C72" s="20" t="s">
        <v>285</v>
      </c>
      <c r="D72" s="20" t="s">
        <v>354</v>
      </c>
      <c r="E72" s="24"/>
    </row>
    <row r="73" spans="1:5" x14ac:dyDescent="0.2">
      <c r="A73" s="20" t="s">
        <v>387</v>
      </c>
      <c r="B73" s="20" t="s">
        <v>284</v>
      </c>
      <c r="C73" s="20" t="s">
        <v>285</v>
      </c>
      <c r="D73" s="20" t="s">
        <v>356</v>
      </c>
      <c r="E73" s="24"/>
    </row>
    <row r="74" spans="1:5" x14ac:dyDescent="0.2">
      <c r="A74" s="20" t="s">
        <v>388</v>
      </c>
      <c r="B74" s="20" t="s">
        <v>284</v>
      </c>
      <c r="C74" s="20" t="s">
        <v>285</v>
      </c>
      <c r="D74" s="20" t="s">
        <v>358</v>
      </c>
      <c r="E74" s="24"/>
    </row>
    <row r="75" spans="1:5" x14ac:dyDescent="0.2">
      <c r="A75" s="20" t="s">
        <v>389</v>
      </c>
      <c r="B75" s="20" t="s">
        <v>284</v>
      </c>
      <c r="C75" s="20" t="s">
        <v>285</v>
      </c>
      <c r="D75" s="20" t="s">
        <v>360</v>
      </c>
      <c r="E75" s="24"/>
    </row>
    <row r="76" spans="1:5" x14ac:dyDescent="0.2">
      <c r="A76" s="20" t="s">
        <v>390</v>
      </c>
      <c r="B76" s="20" t="s">
        <v>391</v>
      </c>
      <c r="C76" s="20" t="s">
        <v>285</v>
      </c>
      <c r="D76" s="20" t="s">
        <v>354</v>
      </c>
      <c r="E76" s="24"/>
    </row>
    <row r="77" spans="1:5" x14ac:dyDescent="0.2">
      <c r="A77" s="20" t="s">
        <v>392</v>
      </c>
      <c r="B77" s="20" t="s">
        <v>391</v>
      </c>
      <c r="C77" s="20" t="s">
        <v>285</v>
      </c>
      <c r="D77" s="20" t="s">
        <v>356</v>
      </c>
      <c r="E77" s="24"/>
    </row>
    <row r="78" spans="1:5" x14ac:dyDescent="0.2">
      <c r="A78" s="20" t="s">
        <v>393</v>
      </c>
      <c r="B78" s="20" t="s">
        <v>391</v>
      </c>
      <c r="C78" s="20" t="s">
        <v>285</v>
      </c>
      <c r="D78" s="20" t="s">
        <v>358</v>
      </c>
      <c r="E78" s="24"/>
    </row>
    <row r="79" spans="1:5" x14ac:dyDescent="0.2">
      <c r="A79" s="20" t="s">
        <v>394</v>
      </c>
      <c r="B79" s="20" t="s">
        <v>391</v>
      </c>
      <c r="C79" s="20" t="s">
        <v>285</v>
      </c>
      <c r="D79" s="20" t="s">
        <v>360</v>
      </c>
      <c r="E79" s="24"/>
    </row>
    <row r="80" spans="1:5" x14ac:dyDescent="0.2">
      <c r="A80" s="20" t="s">
        <v>395</v>
      </c>
      <c r="B80" s="20" t="s">
        <v>396</v>
      </c>
      <c r="C80" s="20" t="s">
        <v>285</v>
      </c>
      <c r="D80" s="20" t="s">
        <v>354</v>
      </c>
      <c r="E80" s="24"/>
    </row>
    <row r="81" spans="1:5" x14ac:dyDescent="0.2">
      <c r="A81" s="20" t="s">
        <v>397</v>
      </c>
      <c r="B81" s="20" t="s">
        <v>396</v>
      </c>
      <c r="C81" s="20" t="s">
        <v>285</v>
      </c>
      <c r="D81" s="20" t="s">
        <v>356</v>
      </c>
      <c r="E81" s="24"/>
    </row>
    <row r="82" spans="1:5" x14ac:dyDescent="0.2">
      <c r="A82" s="20" t="s">
        <v>398</v>
      </c>
      <c r="B82" s="20" t="s">
        <v>396</v>
      </c>
      <c r="C82" s="20" t="s">
        <v>285</v>
      </c>
      <c r="D82" s="20" t="s">
        <v>358</v>
      </c>
      <c r="E82" s="24"/>
    </row>
    <row r="83" spans="1:5" x14ac:dyDescent="0.2">
      <c r="A83" s="25" t="s">
        <v>399</v>
      </c>
      <c r="B83" s="25" t="s">
        <v>396</v>
      </c>
      <c r="C83" s="25" t="s">
        <v>285</v>
      </c>
      <c r="D83" s="25" t="s">
        <v>360</v>
      </c>
      <c r="E83" s="29"/>
    </row>
    <row r="84" spans="1:5" x14ac:dyDescent="0.2">
      <c r="A84" s="40" t="s">
        <v>187</v>
      </c>
      <c r="B84" s="41"/>
      <c r="C84" s="41"/>
      <c r="D84" s="41"/>
      <c r="E84" s="80"/>
    </row>
    <row r="86" spans="1:5" x14ac:dyDescent="0.2">
      <c r="A86" s="40" t="s">
        <v>400</v>
      </c>
      <c r="B86" s="41"/>
      <c r="C86" s="41"/>
      <c r="D86" s="41"/>
      <c r="E86" s="80"/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&amp;LROC Ter AA                                                  &amp;ROpmaakdatum: 23-05-2022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309</vt:i4>
      </vt:variant>
    </vt:vector>
  </HeadingPairs>
  <TitlesOfParts>
    <vt:vector size="320" baseType="lpstr">
      <vt:lpstr>Omreken</vt:lpstr>
      <vt:lpstr>Categorienormen</vt:lpstr>
      <vt:lpstr>Regulier werk</vt:lpstr>
      <vt:lpstr>Objectinformatie</vt:lpstr>
      <vt:lpstr>Objecten</vt:lpstr>
      <vt:lpstr>Niet-meewerkende objectleiding</vt:lpstr>
      <vt:lpstr>Totaalblad Objecten</vt:lpstr>
      <vt:lpstr>Afroep</vt:lpstr>
      <vt:lpstr>Afroep incidenteel</vt:lpstr>
      <vt:lpstr>Glas</vt:lpstr>
      <vt:lpstr>Totaal</vt:lpstr>
      <vt:lpstr>Afroep!Afdruktitels</vt:lpstr>
      <vt:lpstr>'Afroep incidenteel'!Afdruktitels</vt:lpstr>
      <vt:lpstr>Categorienormen!Afdruktitels</vt:lpstr>
      <vt:lpstr>Glas!Afdruktitels</vt:lpstr>
      <vt:lpstr>'Niet-meewerkende objectleiding'!Afdruktitels</vt:lpstr>
      <vt:lpstr>Objecten!Afdruktitels</vt:lpstr>
      <vt:lpstr>Objectinformatie!Afdruktitels</vt:lpstr>
      <vt:lpstr>'Regulier werk'!Afdruktitels</vt:lpstr>
      <vt:lpstr>Totaal!Afdruktitels</vt:lpstr>
      <vt:lpstr>'Totaalblad Objecten'!Afdruktitels</vt:lpstr>
      <vt:lpstr>catdw_1_AHB_1</vt:lpstr>
      <vt:lpstr>catdw_1_AHV_40</vt:lpstr>
      <vt:lpstr>catdw_1_BHB_1</vt:lpstr>
      <vt:lpstr>catdw_1_BHV_40</vt:lpstr>
      <vt:lpstr>catdw_1_BZB_1</vt:lpstr>
      <vt:lpstr>catdw_1_BZV_40</vt:lpstr>
      <vt:lpstr>catdw_1_DHB_1</vt:lpstr>
      <vt:lpstr>catdw_1_DHV_40</vt:lpstr>
      <vt:lpstr>catdw_1_EHB_1</vt:lpstr>
      <vt:lpstr>catdw_1_EHV_40</vt:lpstr>
      <vt:lpstr>catdw_1_EZB_1</vt:lpstr>
      <vt:lpstr>catdw_1_EZV_40</vt:lpstr>
      <vt:lpstr>catdw_1_IHB_1</vt:lpstr>
      <vt:lpstr>catdw_1_IHV_40</vt:lpstr>
      <vt:lpstr>catdw_1_LHB_1</vt:lpstr>
      <vt:lpstr>catdw_1_LHV_40</vt:lpstr>
      <vt:lpstr>catdw_1_LZB_1</vt:lpstr>
      <vt:lpstr>catdw_1_LZV_40</vt:lpstr>
      <vt:lpstr>catdw_1_OHB_1</vt:lpstr>
      <vt:lpstr>catdw_1_OHV_12</vt:lpstr>
      <vt:lpstr>catdw_1_PHB_1</vt:lpstr>
      <vt:lpstr>catdw_1_PHV_40</vt:lpstr>
      <vt:lpstr>catdw_1_PMHB_1</vt:lpstr>
      <vt:lpstr>catdw_1_PMHV_40</vt:lpstr>
      <vt:lpstr>catdw_1_PMZB_1</vt:lpstr>
      <vt:lpstr>catdw_1_PMZV_40</vt:lpstr>
      <vt:lpstr>catdw_1_PSHB_1</vt:lpstr>
      <vt:lpstr>catdw_1_PSHV_40</vt:lpstr>
      <vt:lpstr>catdw_1_PUHB_1</vt:lpstr>
      <vt:lpstr>catdw_1_PUHV_40</vt:lpstr>
      <vt:lpstr>catdw_1_SHB_1</vt:lpstr>
      <vt:lpstr>catdw_1_SHV_40</vt:lpstr>
      <vt:lpstr>catdw_1_THB_1</vt:lpstr>
      <vt:lpstr>catdw_1_THV_40</vt:lpstr>
      <vt:lpstr>catdw_1_VHB_1</vt:lpstr>
      <vt:lpstr>catdw_1_VHV_40</vt:lpstr>
      <vt:lpstr>catdw_1_VHV_5</vt:lpstr>
      <vt:lpstr>catdw_1_VZB_1</vt:lpstr>
      <vt:lpstr>catdw_1_VZV_40</vt:lpstr>
      <vt:lpstr>catdw_1_XBB_1</vt:lpstr>
      <vt:lpstr>catfd_1_AHB_1</vt:lpstr>
      <vt:lpstr>catfd_1_AHV_40</vt:lpstr>
      <vt:lpstr>catfd_1_BHB_1</vt:lpstr>
      <vt:lpstr>catfd_1_BHV_40</vt:lpstr>
      <vt:lpstr>catfd_1_BZB_1</vt:lpstr>
      <vt:lpstr>catfd_1_BZV_40</vt:lpstr>
      <vt:lpstr>catfd_1_DHB_1</vt:lpstr>
      <vt:lpstr>catfd_1_DHV_40</vt:lpstr>
      <vt:lpstr>catfd_1_EHB_1</vt:lpstr>
      <vt:lpstr>catfd_1_EHV_40</vt:lpstr>
      <vt:lpstr>catfd_1_EZB_1</vt:lpstr>
      <vt:lpstr>catfd_1_EZV_40</vt:lpstr>
      <vt:lpstr>catfd_1_IHB_1</vt:lpstr>
      <vt:lpstr>catfd_1_IHV_40</vt:lpstr>
      <vt:lpstr>catfd_1_LHB_1</vt:lpstr>
      <vt:lpstr>catfd_1_LHV_40</vt:lpstr>
      <vt:lpstr>catfd_1_LZB_1</vt:lpstr>
      <vt:lpstr>catfd_1_LZV_40</vt:lpstr>
      <vt:lpstr>catfd_1_OHB_1</vt:lpstr>
      <vt:lpstr>catfd_1_OHV_12</vt:lpstr>
      <vt:lpstr>catfd_1_PHB_1</vt:lpstr>
      <vt:lpstr>catfd_1_PHV_40</vt:lpstr>
      <vt:lpstr>catfd_1_PMHB_1</vt:lpstr>
      <vt:lpstr>catfd_1_PMHV_40</vt:lpstr>
      <vt:lpstr>catfd_1_PMZB_1</vt:lpstr>
      <vt:lpstr>catfd_1_PMZV_40</vt:lpstr>
      <vt:lpstr>catfd_1_PSHB_1</vt:lpstr>
      <vt:lpstr>catfd_1_PSHV_40</vt:lpstr>
      <vt:lpstr>catfd_1_PUHB_1</vt:lpstr>
      <vt:lpstr>catfd_1_PUHV_40</vt:lpstr>
      <vt:lpstr>catfd_1_SHB_1</vt:lpstr>
      <vt:lpstr>catfd_1_SHV_40</vt:lpstr>
      <vt:lpstr>catfd_1_THB_1</vt:lpstr>
      <vt:lpstr>catfd_1_THV_40</vt:lpstr>
      <vt:lpstr>catfd_1_VHB_1</vt:lpstr>
      <vt:lpstr>catfd_1_VHV_40</vt:lpstr>
      <vt:lpstr>catfd_1_VHV_5</vt:lpstr>
      <vt:lpstr>catfd_1_VZB_1</vt:lpstr>
      <vt:lpstr>catfd_1_VZV_40</vt:lpstr>
      <vt:lpstr>catfd_1_XBB_1</vt:lpstr>
      <vt:lpstr>catpn_1_AHB_1</vt:lpstr>
      <vt:lpstr>catpn_1_AHV_40</vt:lpstr>
      <vt:lpstr>catpn_1_BHB_1</vt:lpstr>
      <vt:lpstr>catpn_1_BHV_40</vt:lpstr>
      <vt:lpstr>catpn_1_BZB_1</vt:lpstr>
      <vt:lpstr>catpn_1_BZV_40</vt:lpstr>
      <vt:lpstr>catpn_1_DHB_1</vt:lpstr>
      <vt:lpstr>catpn_1_DHV_40</vt:lpstr>
      <vt:lpstr>catpn_1_EHB_1</vt:lpstr>
      <vt:lpstr>catpn_1_EHV_40</vt:lpstr>
      <vt:lpstr>catpn_1_EZB_1</vt:lpstr>
      <vt:lpstr>catpn_1_EZV_40</vt:lpstr>
      <vt:lpstr>catpn_1_IHB_1</vt:lpstr>
      <vt:lpstr>catpn_1_IHV_40</vt:lpstr>
      <vt:lpstr>catpn_1_LHB_1</vt:lpstr>
      <vt:lpstr>catpn_1_LHV_40</vt:lpstr>
      <vt:lpstr>catpn_1_LZB_1</vt:lpstr>
      <vt:lpstr>catpn_1_LZV_40</vt:lpstr>
      <vt:lpstr>catpn_1_OHB_1</vt:lpstr>
      <vt:lpstr>catpn_1_OHV_12</vt:lpstr>
      <vt:lpstr>catpn_1_PHB_1</vt:lpstr>
      <vt:lpstr>catpn_1_PHV_40</vt:lpstr>
      <vt:lpstr>catpn_1_PMHB_1</vt:lpstr>
      <vt:lpstr>catpn_1_PMHV_40</vt:lpstr>
      <vt:lpstr>catpn_1_PMZB_1</vt:lpstr>
      <vt:lpstr>catpn_1_PMZV_40</vt:lpstr>
      <vt:lpstr>catpn_1_PSHB_1</vt:lpstr>
      <vt:lpstr>catpn_1_PSHV_40</vt:lpstr>
      <vt:lpstr>catpn_1_PUHB_1</vt:lpstr>
      <vt:lpstr>catpn_1_PUHV_40</vt:lpstr>
      <vt:lpstr>catpn_1_SHB_1</vt:lpstr>
      <vt:lpstr>catpn_1_SHV_40</vt:lpstr>
      <vt:lpstr>catpn_1_THB_1</vt:lpstr>
      <vt:lpstr>catpn_1_THV_40</vt:lpstr>
      <vt:lpstr>catpn_1_VHB_1</vt:lpstr>
      <vt:lpstr>catpn_1_VHV_40</vt:lpstr>
      <vt:lpstr>catpn_1_VHV_5</vt:lpstr>
      <vt:lpstr>catpn_1_VZB_1</vt:lpstr>
      <vt:lpstr>catpn_1_VZV_40</vt:lpstr>
      <vt:lpstr>catpn_1_XBB_1</vt:lpstr>
      <vt:lpstr>cattf_1_AHB_1</vt:lpstr>
      <vt:lpstr>cattf_1_AHV_40</vt:lpstr>
      <vt:lpstr>cattf_1_BHB_1</vt:lpstr>
      <vt:lpstr>cattf_1_BHV_40</vt:lpstr>
      <vt:lpstr>cattf_1_BZB_1</vt:lpstr>
      <vt:lpstr>cattf_1_BZV_40</vt:lpstr>
      <vt:lpstr>cattf_1_DHB_1</vt:lpstr>
      <vt:lpstr>cattf_1_DHV_40</vt:lpstr>
      <vt:lpstr>cattf_1_EHB_1</vt:lpstr>
      <vt:lpstr>cattf_1_EHV_40</vt:lpstr>
      <vt:lpstr>cattf_1_EZB_1</vt:lpstr>
      <vt:lpstr>cattf_1_EZV_40</vt:lpstr>
      <vt:lpstr>cattf_1_IHB_1</vt:lpstr>
      <vt:lpstr>cattf_1_IHV_40</vt:lpstr>
      <vt:lpstr>cattf_1_LHB_1</vt:lpstr>
      <vt:lpstr>cattf_1_LHV_40</vt:lpstr>
      <vt:lpstr>cattf_1_LZB_1</vt:lpstr>
      <vt:lpstr>cattf_1_LZV_40</vt:lpstr>
      <vt:lpstr>cattf_1_OHB_1</vt:lpstr>
      <vt:lpstr>cattf_1_OHV_12</vt:lpstr>
      <vt:lpstr>cattf_1_PHB_1</vt:lpstr>
      <vt:lpstr>cattf_1_PHV_40</vt:lpstr>
      <vt:lpstr>cattf_1_PMHB_1</vt:lpstr>
      <vt:lpstr>cattf_1_PMHV_40</vt:lpstr>
      <vt:lpstr>cattf_1_PMZB_1</vt:lpstr>
      <vt:lpstr>cattf_1_PMZV_40</vt:lpstr>
      <vt:lpstr>cattf_1_PSHB_1</vt:lpstr>
      <vt:lpstr>cattf_1_PSHV_40</vt:lpstr>
      <vt:lpstr>cattf_1_PUHB_1</vt:lpstr>
      <vt:lpstr>cattf_1_PUHV_40</vt:lpstr>
      <vt:lpstr>cattf_1_SHB_1</vt:lpstr>
      <vt:lpstr>cattf_1_SHV_40</vt:lpstr>
      <vt:lpstr>cattf_1_THB_1</vt:lpstr>
      <vt:lpstr>cattf_1_THV_40</vt:lpstr>
      <vt:lpstr>cattf_1_VHB_1</vt:lpstr>
      <vt:lpstr>cattf_1_VHV_40</vt:lpstr>
      <vt:lpstr>cattf_1_VHV_5</vt:lpstr>
      <vt:lpstr>cattf_1_VZB_1</vt:lpstr>
      <vt:lpstr>cattf_1_VZV_40</vt:lpstr>
      <vt:lpstr>cattf_1_XBB_1</vt:lpstr>
      <vt:lpstr>dagenperjaar1</vt:lpstr>
      <vt:lpstr>dagenperweek1</vt:lpstr>
      <vt:lpstr>dagsoorttabel1</vt:lpstr>
      <vt:lpstr>gemuurtarief1</vt:lpstr>
      <vt:lpstr>kengetaltabel1</vt:lpstr>
      <vt:lpstr>object1_opptabel1</vt:lpstr>
      <vt:lpstr>object2_opptabel1</vt:lpstr>
      <vt:lpstr>object3_opptabel1</vt:lpstr>
      <vt:lpstr>object4_opptabel1</vt:lpstr>
      <vt:lpstr>object5_opptabel1</vt:lpstr>
      <vt:lpstr>objectprijs1_1</vt:lpstr>
      <vt:lpstr>objectprijs2_1</vt:lpstr>
      <vt:lpstr>objectprijs3_1</vt:lpstr>
      <vt:lpstr>objectprijs4_1</vt:lpstr>
      <vt:lpstr>objectprijs5_1</vt:lpstr>
      <vt:lpstr>objecturen1_1</vt:lpstr>
      <vt:lpstr>objecturen2_1</vt:lpstr>
      <vt:lpstr>objecturen3_1</vt:lpstr>
      <vt:lpstr>objecturen4_1</vt:lpstr>
      <vt:lpstr>objecturen5_1</vt:lpstr>
      <vt:lpstr>prijsdag1</vt:lpstr>
      <vt:lpstr>prijsjaar</vt:lpstr>
      <vt:lpstr>prijsjaar1</vt:lpstr>
      <vt:lpstr>prijsjaarafroep</vt:lpstr>
      <vt:lpstr>prijsjaarafroep1</vt:lpstr>
      <vt:lpstr>prijsjaarglas</vt:lpstr>
      <vt:lpstr>prijsjaarglas1</vt:lpstr>
      <vt:lpstr>prijsjaarnietmeewerkend</vt:lpstr>
      <vt:lpstr>prijsjaartotaal</vt:lpstr>
      <vt:lpstr>prijsjaartotaal1</vt:lpstr>
      <vt:lpstr>prijsjaartotaaloverzicht</vt:lpstr>
      <vt:lpstr>prijsmaandtotaal1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prodnorm4</vt:lpstr>
      <vt:lpstr>prodnorm5</vt:lpstr>
      <vt:lpstr>prodnorm6</vt:lpstr>
      <vt:lpstr>prodnorm7</vt:lpstr>
      <vt:lpstr>prodnorm8</vt:lpstr>
      <vt:lpstr>prodnorm9</vt:lpstr>
      <vt:lpstr>taakfreqtabel1</vt:lpstr>
      <vt:lpstr>tabeltype</vt:lpstr>
      <vt:lpstr>tarieftabel1</vt:lpstr>
      <vt:lpstr>tzpjt1</vt:lpstr>
      <vt:lpstr>tzpjt1_1</vt:lpstr>
      <vt:lpstr>tzpjt1_2</vt:lpstr>
      <vt:lpstr>tzpjt2</vt:lpstr>
      <vt:lpstr>tzpjt2_1</vt:lpstr>
      <vt:lpstr>tzpjt3_1</vt:lpstr>
      <vt:lpstr>tzpjt4_1</vt:lpstr>
      <vt:lpstr>tzpjt5_1</vt:lpstr>
      <vt:lpstr>tzpmt1</vt:lpstr>
      <vt:lpstr>tzpmt1_1</vt:lpstr>
      <vt:lpstr>tzpmt1_2</vt:lpstr>
      <vt:lpstr>tzpmt2</vt:lpstr>
      <vt:lpstr>tzpmt2_1</vt:lpstr>
      <vt:lpstr>tzpmt3_1</vt:lpstr>
      <vt:lpstr>tzpmt4_1</vt:lpstr>
      <vt:lpstr>tzpmt5_1</vt:lpstr>
      <vt:lpstr>tzujt1</vt:lpstr>
      <vt:lpstr>tzujt1_1</vt:lpstr>
      <vt:lpstr>tzujt1_2</vt:lpstr>
      <vt:lpstr>tzujt2</vt:lpstr>
      <vt:lpstr>tzujt2_1</vt:lpstr>
      <vt:lpstr>tzujt3_1</vt:lpstr>
      <vt:lpstr>tzujt4_1</vt:lpstr>
      <vt:lpstr>tzujt5_1</vt:lpstr>
      <vt:lpstr>urendag1</vt:lpstr>
      <vt:lpstr>urenjaar</vt:lpstr>
      <vt:lpstr>urenjaar1</vt:lpstr>
      <vt:lpstr>urenjaarnietmeewerkend</vt:lpstr>
      <vt:lpstr>urenjaartotaal</vt:lpstr>
      <vt:lpstr>urenjaartotaal1</vt:lpstr>
      <vt:lpstr>urenjaartotaaloverzicht</vt:lpstr>
      <vt:lpstr>uurfactortabel1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uurtarief4</vt:lpstr>
      <vt:lpstr>uurtarief5</vt:lpstr>
      <vt:lpstr>uurtarief6</vt:lpstr>
      <vt:lpstr>uurtarief7</vt:lpstr>
      <vt:lpstr>uurtarief8</vt:lpstr>
      <vt:lpstr>uurtarief9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2022-05-23T03:48:47Z</dcterms:created>
  <dcterms:modified xsi:type="dcterms:W3CDTF">2022-05-23T03:49:50Z</dcterms:modified>
</cp:coreProperties>
</file>