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GN\DV\AD\Inkoop Aanbest\1. Aanbes EU &amp; Nat\Loopt\2022\CZINK19-10-28 vervangen CTK\10. Docu herpublicatie\"/>
    </mc:Choice>
  </mc:AlternateContent>
  <bookViews>
    <workbookView xWindow="-120" yWindow="-120" windowWidth="29040" windowHeight="15840" firstSheet="2" activeTab="2"/>
  </bookViews>
  <sheets>
    <sheet name="Verwijzingsblad" sheetId="58" state="hidden" r:id="rId1"/>
    <sheet name="Blad1" sheetId="59" state="hidden" r:id="rId2"/>
    <sheet name="AKK-07" sheetId="1" r:id="rId3"/>
    <sheet name="AKK-09" sheetId="4" r:id="rId4"/>
    <sheet name="AKK-12" sheetId="5" r:id="rId5"/>
    <sheet name="CEN-02" sheetId="6" r:id="rId6"/>
    <sheet name="EEK-02" sheetId="7" r:id="rId7"/>
    <sheet name="EEK-03" sheetId="8" r:id="rId8"/>
    <sheet name="EEK-05" sheetId="9" r:id="rId9"/>
    <sheet name="EEK-06" sheetId="10" r:id="rId10"/>
    <sheet name="EEK-07" sheetId="11" r:id="rId11"/>
    <sheet name="EEK-09" sheetId="12" r:id="rId12"/>
    <sheet name="EEK-10" sheetId="13" r:id="rId13"/>
    <sheet name="HEK-03" sheetId="14" r:id="rId14"/>
    <sheet name="HOE-01" sheetId="15" r:id="rId15"/>
    <sheet name="HOE-02" sheetId="16" r:id="rId16"/>
    <sheet name="HOE-03" sheetId="17" r:id="rId17"/>
    <sheet name="HOE-04" sheetId="18" r:id="rId18"/>
    <sheet name="HOE-05" sheetId="19" r:id="rId19"/>
    <sheet name="HOE-11" sheetId="20" r:id="rId20"/>
    <sheet name="HOE-18" sheetId="21" r:id="rId21"/>
    <sheet name="HV02" sheetId="22" r:id="rId22"/>
    <sheet name="HV03" sheetId="57" r:id="rId23"/>
    <sheet name="MWO-04" sheetId="23" r:id="rId24"/>
    <sheet name="MWO-05" sheetId="24" r:id="rId25"/>
    <sheet name="MWW-07" sheetId="56" r:id="rId26"/>
    <sheet name="MWW-08" sheetId="55" r:id="rId27"/>
    <sheet name="MWW-10" sheetId="54" r:id="rId28"/>
    <sheet name="PAB-05" sheetId="53" r:id="rId29"/>
    <sheet name="PHO-01" sheetId="52" r:id="rId30"/>
    <sheet name="PHO-03" sheetId="51" r:id="rId31"/>
    <sheet name="PHO-04" sheetId="50" r:id="rId32"/>
    <sheet name="PHO-05" sheetId="49" r:id="rId33"/>
    <sheet name="PHO-06" sheetId="48" r:id="rId34"/>
    <sheet name="PHO-07" sheetId="47" r:id="rId35"/>
    <sheet name="PHW-01" sheetId="46" r:id="rId36"/>
    <sheet name="SCK-01" sheetId="45" r:id="rId37"/>
    <sheet name="SCK-02" sheetId="44" r:id="rId38"/>
    <sheet name="STK-04" sheetId="43" r:id="rId39"/>
    <sheet name="VB022" sheetId="42" r:id="rId40"/>
    <sheet name="VB023" sheetId="41" r:id="rId41"/>
    <sheet name="VOZ-01" sheetId="40" r:id="rId42"/>
    <sheet name="VOZ-02" sheetId="39" r:id="rId43"/>
    <sheet name="VOZ-03" sheetId="38" r:id="rId44"/>
    <sheet name="VOZ-12" sheetId="37" r:id="rId45"/>
    <sheet name="VOZ-13" sheetId="36" r:id="rId46"/>
    <sheet name="VRL-01" sheetId="35" r:id="rId47"/>
    <sheet name="VRL-03" sheetId="34" r:id="rId48"/>
    <sheet name="VRL-08" sheetId="33" r:id="rId49"/>
    <sheet name="WAL-07" sheetId="32" r:id="rId50"/>
    <sheet name="WAL-08" sheetId="31" r:id="rId51"/>
    <sheet name="WAL-09" sheetId="30" r:id="rId52"/>
    <sheet name="WAL-14" sheetId="29" r:id="rId53"/>
    <sheet name="WAL-15" sheetId="28" r:id="rId54"/>
    <sheet name="WAL-16" sheetId="27" r:id="rId55"/>
    <sheet name="WAL-18" sheetId="26" r:id="rId56"/>
    <sheet name="WAL-19" sheetId="25" r:id="rId57"/>
    <sheet name="TOTAAL" sheetId="2" r:id="rId58"/>
  </sheets>
  <definedNames>
    <definedName name="_Toc515868663" localSheetId="2">'AKK-07'!$B$73</definedName>
    <definedName name="_Toc515868663" localSheetId="3">'AKK-09'!$B$76</definedName>
    <definedName name="_Toc515868663" localSheetId="4">'AKK-12'!$B$76</definedName>
    <definedName name="_Toc515868663" localSheetId="5">'CEN-02'!$B$73</definedName>
    <definedName name="_Toc515868663" localSheetId="6">'EEK-02'!$B$70</definedName>
    <definedName name="_Toc515868663" localSheetId="7">'EEK-03'!$B$73</definedName>
    <definedName name="_Toc515868663" localSheetId="8">'EEK-05'!$B$73</definedName>
    <definedName name="_Toc515868663" localSheetId="9">'EEK-06'!$B$70</definedName>
    <definedName name="_Toc515868663" localSheetId="10">'EEK-07'!$B$73</definedName>
    <definedName name="_Toc515868663" localSheetId="11">'EEK-09'!#REF!</definedName>
    <definedName name="_Toc515868663" localSheetId="12">'EEK-10'!$B$71</definedName>
    <definedName name="_Toc515868663" localSheetId="13">'HEK-03'!$B$72</definedName>
    <definedName name="_Toc515868663" localSheetId="14">'HOE-01'!$B$73</definedName>
    <definedName name="_Toc515868663" localSheetId="15">'HOE-02'!$B$74</definedName>
    <definedName name="_Toc515868663" localSheetId="16">'HOE-03'!$B$74</definedName>
    <definedName name="_Toc515868663" localSheetId="17">'HOE-04'!$B$74</definedName>
    <definedName name="_Toc515868663" localSheetId="18">'HOE-05'!$B$74</definedName>
    <definedName name="_Toc515868663" localSheetId="19">'HOE-11'!$B$73</definedName>
    <definedName name="_Toc515868663" localSheetId="20">'HOE-18'!$B$74</definedName>
    <definedName name="_Toc515868663" localSheetId="21">'HV02'!$B$70</definedName>
    <definedName name="_Toc515868663" localSheetId="22">'HV03'!#REF!</definedName>
    <definedName name="_Toc515868663" localSheetId="23">'MWO-04'!$B$73</definedName>
    <definedName name="_Toc515868663" localSheetId="24">'MWO-05'!$B$73</definedName>
    <definedName name="_Toc515868663" localSheetId="25">'MWW-07'!$B$76</definedName>
    <definedName name="_Toc515868663" localSheetId="26">'MWW-08'!$B$76</definedName>
    <definedName name="_Toc515868663" localSheetId="27">'MWW-10'!$B$73</definedName>
    <definedName name="_Toc515868663" localSheetId="28">'PAB-05'!$B$74</definedName>
    <definedName name="_Toc515868663" localSheetId="29">'PHO-01'!$B$70</definedName>
    <definedName name="_Toc515868663" localSheetId="30">'PHO-03'!$B$71</definedName>
    <definedName name="_Toc515868663" localSheetId="31">'PHO-04'!$B$74</definedName>
    <definedName name="_Toc515868663" localSheetId="32">'PHO-05'!$B$71</definedName>
    <definedName name="_Toc515868663" localSheetId="33">'PHO-06'!$B$70</definedName>
    <definedName name="_Toc515868663" localSheetId="34">'PHO-07'!$B$75</definedName>
    <definedName name="_Toc515868663" localSheetId="35">'PHW-01'!$B$71</definedName>
    <definedName name="_Toc515868663" localSheetId="36">'SCK-01'!$B$73</definedName>
    <definedName name="_Toc515868663" localSheetId="37">'SCK-02'!$B$74</definedName>
    <definedName name="_Toc515868663" localSheetId="38">'STK-04'!$B$73</definedName>
    <definedName name="_Toc515868663" localSheetId="39">'VB022'!$B$70</definedName>
    <definedName name="_Toc515868663" localSheetId="40">'VB023'!$B$70</definedName>
    <definedName name="_Toc515868663" localSheetId="41">'VOZ-01'!$B$73</definedName>
    <definedName name="_Toc515868663" localSheetId="42">'VOZ-02'!$B$73</definedName>
    <definedName name="_Toc515868663" localSheetId="43">'VOZ-03'!$B$73</definedName>
    <definedName name="_Toc515868663" localSheetId="44">'VOZ-12'!$B$73</definedName>
    <definedName name="_Toc515868663" localSheetId="45">'VOZ-13'!$B$73</definedName>
    <definedName name="_Toc515868663" localSheetId="46">'VRL-01'!$B$74</definedName>
    <definedName name="_Toc515868663" localSheetId="47">'VRL-03'!$B$74</definedName>
    <definedName name="_Toc515868663" localSheetId="48">'VRL-08'!$B$73</definedName>
    <definedName name="_Toc515868663" localSheetId="49">'WAL-07'!$B$73</definedName>
    <definedName name="_Toc515868663" localSheetId="50">'WAL-08'!$B$73</definedName>
    <definedName name="_Toc515868663" localSheetId="51">'WAL-09'!$B$74</definedName>
    <definedName name="_Toc515868663" localSheetId="52">'WAL-14'!$B$75</definedName>
    <definedName name="_Toc515868663" localSheetId="53">'WAL-15'!$B$74</definedName>
    <definedName name="_Toc515868663" localSheetId="54">'WAL-16'!$B$74</definedName>
    <definedName name="_Toc515868663" localSheetId="55">'WAL-18'!$B$74</definedName>
    <definedName name="_Toc515868663" localSheetId="56">'WAL-19'!$B$74</definedName>
    <definedName name="_Toc515868673" localSheetId="2">'AKK-07'!$B$73</definedName>
    <definedName name="_Toc515868673" localSheetId="3">'AKK-09'!$B$76</definedName>
    <definedName name="_Toc515868673" localSheetId="4">'AKK-12'!$B$76</definedName>
    <definedName name="_Toc515868673" localSheetId="5">'CEN-02'!$B$73</definedName>
    <definedName name="_Toc515868673" localSheetId="6">'EEK-02'!$B$70</definedName>
    <definedName name="_Toc515868673" localSheetId="7">'EEK-03'!$B$73</definedName>
    <definedName name="_Toc515868673" localSheetId="8">'EEK-05'!$B$73</definedName>
    <definedName name="_Toc515868673" localSheetId="9">'EEK-06'!$B$70</definedName>
    <definedName name="_Toc515868673" localSheetId="10">'EEK-07'!$B$73</definedName>
    <definedName name="_Toc515868673" localSheetId="11">'EEK-09'!#REF!</definedName>
    <definedName name="_Toc515868673" localSheetId="12">'EEK-10'!$B$71</definedName>
    <definedName name="_Toc515868673" localSheetId="13">'HEK-03'!$B$72</definedName>
    <definedName name="_Toc515868673" localSheetId="14">'HOE-01'!$B$73</definedName>
    <definedName name="_Toc515868673" localSheetId="15">'HOE-02'!$B$74</definedName>
    <definedName name="_Toc515868673" localSheetId="16">'HOE-03'!$B$74</definedName>
    <definedName name="_Toc515868673" localSheetId="17">'HOE-04'!$B$74</definedName>
    <definedName name="_Toc515868673" localSheetId="18">'HOE-05'!$B$74</definedName>
    <definedName name="_Toc515868673" localSheetId="19">'HOE-11'!$B$73</definedName>
    <definedName name="_Toc515868673" localSheetId="20">'HOE-18'!$B$74</definedName>
    <definedName name="_Toc515868673" localSheetId="21">'HV02'!$B$70</definedName>
    <definedName name="_Toc515868673" localSheetId="22">'HV03'!#REF!</definedName>
    <definedName name="_Toc515868673" localSheetId="23">'MWO-04'!$B$73</definedName>
    <definedName name="_Toc515868673" localSheetId="24">'MWO-05'!$B$73</definedName>
    <definedName name="_Toc515868673" localSheetId="25">'MWW-07'!$B$76</definedName>
    <definedName name="_Toc515868673" localSheetId="26">'MWW-08'!$B$76</definedName>
    <definedName name="_Toc515868673" localSheetId="27">'MWW-10'!$B$73</definedName>
    <definedName name="_Toc515868673" localSheetId="28">'PAB-05'!$B$74</definedName>
    <definedName name="_Toc515868673" localSheetId="29">'PHO-01'!$B$70</definedName>
    <definedName name="_Toc515868673" localSheetId="30">'PHO-03'!$B$71</definedName>
    <definedName name="_Toc515868673" localSheetId="31">'PHO-04'!$B$74</definedName>
    <definedName name="_Toc515868673" localSheetId="32">'PHO-05'!$B$71</definedName>
    <definedName name="_Toc515868673" localSheetId="33">'PHO-06'!$B$70</definedName>
    <definedName name="_Toc515868673" localSheetId="34">'PHO-07'!$B$75</definedName>
    <definedName name="_Toc515868673" localSheetId="35">'PHW-01'!$B$71</definedName>
    <definedName name="_Toc515868673" localSheetId="36">'SCK-01'!$B$73</definedName>
    <definedName name="_Toc515868673" localSheetId="37">'SCK-02'!$B$74</definedName>
    <definedName name="_Toc515868673" localSheetId="38">'STK-04'!$B$73</definedName>
    <definedName name="_Toc515868673" localSheetId="39">'VB022'!$B$70</definedName>
    <definedName name="_Toc515868673" localSheetId="40">'VB023'!$B$70</definedName>
    <definedName name="_Toc515868673" localSheetId="41">'VOZ-01'!$B$73</definedName>
    <definedName name="_Toc515868673" localSheetId="42">'VOZ-02'!$B$73</definedName>
    <definedName name="_Toc515868673" localSheetId="43">'VOZ-03'!$B$73</definedName>
    <definedName name="_Toc515868673" localSheetId="44">'VOZ-12'!$B$73</definedName>
    <definedName name="_Toc515868673" localSheetId="45">'VOZ-13'!$B$73</definedName>
    <definedName name="_Toc515868673" localSheetId="46">'VRL-01'!$B$74</definedName>
    <definedName name="_Toc515868673" localSheetId="47">'VRL-03'!$B$74</definedName>
    <definedName name="_Toc515868673" localSheetId="48">'VRL-08'!$B$73</definedName>
    <definedName name="_Toc515868673" localSheetId="49">'WAL-07'!$B$73</definedName>
    <definedName name="_Toc515868673" localSheetId="50">'WAL-08'!$B$73</definedName>
    <definedName name="_Toc515868673" localSheetId="51">'WAL-09'!$B$74</definedName>
    <definedName name="_Toc515868673" localSheetId="52">'WAL-14'!$B$75</definedName>
    <definedName name="_Toc515868673" localSheetId="53">'WAL-15'!$B$74</definedName>
    <definedName name="_Toc515868673" localSheetId="54">'WAL-16'!$B$74</definedName>
    <definedName name="_Toc515868673" localSheetId="55">'WAL-18'!$B$74</definedName>
    <definedName name="_Toc515868673" localSheetId="56">'WAL-19'!$B$74</definedName>
    <definedName name="_xlcn.WorksheetConnection_Spij.127013v0.3SpecificatievandeinschrijfsomRaming.xlsxSander" hidden="1">Sander</definedName>
    <definedName name="_xlnm.Print_Area" localSheetId="2">'AKK-07'!$A$1:$F$82</definedName>
    <definedName name="_xlnm.Print_Area" localSheetId="3">'AKK-09'!$A$1:$F$93</definedName>
    <definedName name="_xlnm.Print_Area" localSheetId="4">'AKK-12'!$A$1:$F$86</definedName>
    <definedName name="_xlnm.Print_Area" localSheetId="5">'CEN-02'!$A$1:$F$85</definedName>
    <definedName name="_xlnm.Print_Area" localSheetId="6">'EEK-02'!$A$1:$F$79</definedName>
    <definedName name="_xlnm.Print_Area" localSheetId="7">'EEK-03'!$A$1:$F$82</definedName>
    <definedName name="_xlnm.Print_Area" localSheetId="8">'EEK-05'!$A$1:$F$82</definedName>
    <definedName name="_xlnm.Print_Area" localSheetId="9">'EEK-06'!$A$1:$F$82</definedName>
    <definedName name="_xlnm.Print_Area" localSheetId="10">'EEK-07'!$A$1:$F$82</definedName>
    <definedName name="_xlnm.Print_Area" localSheetId="11">'EEK-09'!$A$1:$F$41</definedName>
    <definedName name="_xlnm.Print_Area" localSheetId="12">'EEK-10'!$A$1:$F$81</definedName>
    <definedName name="_xlnm.Print_Area" localSheetId="13">'HEK-03'!$A$1:$F$81</definedName>
    <definedName name="_xlnm.Print_Area" localSheetId="14">'HOE-01'!$A$1:$F$82</definedName>
    <definedName name="_xlnm.Print_Area" localSheetId="15">'HOE-02'!$A$1:$F$84</definedName>
    <definedName name="_xlnm.Print_Area" localSheetId="16">'HOE-03'!$A$1:$F$84</definedName>
    <definedName name="_xlnm.Print_Area" localSheetId="17">'HOE-04'!$A$1:$F$84</definedName>
    <definedName name="_xlnm.Print_Area" localSheetId="18">'HOE-05'!$A$1:$F$84</definedName>
    <definedName name="_xlnm.Print_Area" localSheetId="19">'HOE-11'!$A$1:$F$82</definedName>
    <definedName name="_xlnm.Print_Area" localSheetId="20">'HOE-18'!$A$1:$F$84</definedName>
    <definedName name="_xlnm.Print_Area" localSheetId="21">'HV02'!$A$1:$F$79</definedName>
    <definedName name="_xlnm.Print_Area" localSheetId="22">'HV03'!$A$1:$F$72</definedName>
    <definedName name="_xlnm.Print_Area" localSheetId="23">'MWO-04'!$A$1:$F$87</definedName>
    <definedName name="_xlnm.Print_Area" localSheetId="24">'MWO-05'!$A$1:$F$86</definedName>
    <definedName name="_xlnm.Print_Area" localSheetId="25">'MWW-07'!$A$1:$F$86</definedName>
    <definedName name="_xlnm.Print_Area" localSheetId="26">'MWW-08'!$A$1:$F$89</definedName>
    <definedName name="_xlnm.Print_Area" localSheetId="27">'MWW-10'!$A$1:$F$82</definedName>
    <definedName name="_xlnm.Print_Area" localSheetId="28">'PAB-05'!$A$1:$F$86</definedName>
    <definedName name="_xlnm.Print_Area" localSheetId="29">'PHO-01'!$A$1:$F$79</definedName>
    <definedName name="_xlnm.Print_Area" localSheetId="30">'PHO-03'!$A$1:$F$81</definedName>
    <definedName name="_xlnm.Print_Area" localSheetId="31">'PHO-04'!$A$1:$F$88</definedName>
    <definedName name="_xlnm.Print_Area" localSheetId="32">'PHO-05'!$A$1:$F$81</definedName>
    <definedName name="_xlnm.Print_Area" localSheetId="33">'PHO-06'!$A$1:$F$79</definedName>
    <definedName name="_xlnm.Print_Area" localSheetId="34">'PHO-07'!$A$1:$F$88</definedName>
    <definedName name="_xlnm.Print_Area" localSheetId="35">'PHW-01'!$A$1:$F$84</definedName>
    <definedName name="_xlnm.Print_Area" localSheetId="36">'SCK-01'!$A$1:$F$87</definedName>
    <definedName name="_xlnm.Print_Area" localSheetId="37">'SCK-02'!$A$1:$F$84</definedName>
    <definedName name="_xlnm.Print_Area" localSheetId="38">'STK-04'!$A$1:$F$82</definedName>
    <definedName name="_xlnm.Print_Area" localSheetId="57">TOTAAL!$A$1:$F$101</definedName>
    <definedName name="_xlnm.Print_Area" localSheetId="39">'VB022'!$A$1:$F$79</definedName>
    <definedName name="_xlnm.Print_Area" localSheetId="40">'VB023'!$A$1:$F$79</definedName>
    <definedName name="_xlnm.Print_Area" localSheetId="41">'VOZ-01'!$A$1:$F$83</definedName>
    <definedName name="_xlnm.Print_Area" localSheetId="42">'VOZ-02'!$A$1:$F$83</definedName>
    <definedName name="_xlnm.Print_Area" localSheetId="43">'VOZ-03'!$A$1:$F$86</definedName>
    <definedName name="_xlnm.Print_Area" localSheetId="44">'VOZ-12'!$A$1:$F$82</definedName>
    <definedName name="_xlnm.Print_Area" localSheetId="45">'VOZ-13'!$A$1:$F$82</definedName>
    <definedName name="_xlnm.Print_Area" localSheetId="46">'VRL-01'!$A$1:$F$87</definedName>
    <definedName name="_xlnm.Print_Area" localSheetId="47">'VRL-03'!$A$1:$F$84</definedName>
    <definedName name="_xlnm.Print_Area" localSheetId="48">'VRL-08'!$A$1:$F$82</definedName>
    <definedName name="_xlnm.Print_Area" localSheetId="49">'WAL-07'!$A$1:$F$85</definedName>
    <definedName name="_xlnm.Print_Area" localSheetId="50">'WAL-08'!$A$1:$F$82</definedName>
    <definedName name="_xlnm.Print_Area" localSheetId="51">'WAL-09'!$A$1:$F$86</definedName>
    <definedName name="_xlnm.Print_Area" localSheetId="52">'WAL-14'!$A$1:$F$88</definedName>
    <definedName name="_xlnm.Print_Area" localSheetId="53">'WAL-15'!$A$1:$F$87</definedName>
    <definedName name="_xlnm.Print_Area" localSheetId="54">'WAL-16'!$A$1:$F$87</definedName>
    <definedName name="_xlnm.Print_Area" localSheetId="55">'WAL-18'!$A$1:$F$87</definedName>
    <definedName name="_xlnm.Print_Area" localSheetId="56">'WAL-19'!$A$1:$F$84</definedName>
    <definedName name="OLE_LINK1" localSheetId="0">Verwijzingsblad!$H$2</definedName>
    <definedName name="TotaalWerkzaamheden_AKK07">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Sander" name="Sander" connection="WorksheetConnection_Spij.127-013-v0.3 Specificatie van de inschrijfsom (Raming).xlsx!Sander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6" i="5" l="1"/>
  <c r="A8" i="1"/>
  <c r="A9" i="1"/>
  <c r="A13" i="1"/>
  <c r="A16" i="1"/>
  <c r="A19" i="1"/>
  <c r="A22" i="1"/>
  <c r="A25" i="1"/>
  <c r="A29" i="1"/>
  <c r="A32" i="1"/>
  <c r="A36" i="1"/>
  <c r="A39" i="1"/>
  <c r="A42" i="1"/>
  <c r="A45" i="1"/>
  <c r="A49" i="1"/>
  <c r="A53" i="1"/>
  <c r="A56" i="1"/>
  <c r="A61" i="1"/>
  <c r="A73" i="1"/>
  <c r="A76" i="1"/>
  <c r="A79" i="1"/>
  <c r="A81" i="1"/>
  <c r="A19" i="2"/>
  <c r="A18" i="2"/>
  <c r="A17" i="2"/>
  <c r="A16" i="2"/>
  <c r="A15" i="2"/>
  <c r="A14" i="2"/>
  <c r="A13" i="2"/>
  <c r="A12" i="2"/>
  <c r="A11" i="2"/>
  <c r="A10" i="2"/>
  <c r="A9" i="2"/>
  <c r="A8" i="2"/>
  <c r="A63" i="55"/>
  <c r="A81" i="25" l="1"/>
  <c r="A78" i="25"/>
  <c r="A74" i="25"/>
  <c r="A62" i="25"/>
  <c r="A57" i="25"/>
  <c r="A54" i="25"/>
  <c r="A49" i="25"/>
  <c r="A45" i="25"/>
  <c r="A42" i="25"/>
  <c r="A39" i="25"/>
  <c r="A36" i="25"/>
  <c r="A32" i="25"/>
  <c r="A29" i="25"/>
  <c r="A25" i="25"/>
  <c r="A22" i="25"/>
  <c r="A19" i="25"/>
  <c r="A16" i="25"/>
  <c r="A13" i="25"/>
  <c r="A9" i="25"/>
  <c r="A9" i="26"/>
  <c r="A74" i="26"/>
  <c r="A78" i="26"/>
  <c r="A81" i="26"/>
  <c r="A84" i="26"/>
  <c r="A62" i="26"/>
  <c r="A57" i="26"/>
  <c r="A54" i="26"/>
  <c r="A49" i="26"/>
  <c r="A45" i="26"/>
  <c r="A42" i="26"/>
  <c r="A39" i="26"/>
  <c r="A36" i="26"/>
  <c r="A32" i="26"/>
  <c r="A29" i="26"/>
  <c r="A25" i="26"/>
  <c r="A22" i="26"/>
  <c r="A19" i="26"/>
  <c r="A16" i="26"/>
  <c r="A13" i="26"/>
  <c r="A84" i="27"/>
  <c r="A81" i="27"/>
  <c r="A78" i="27"/>
  <c r="A74" i="27"/>
  <c r="A62" i="27"/>
  <c r="A57" i="27"/>
  <c r="A54" i="27"/>
  <c r="A49" i="27"/>
  <c r="A45" i="27"/>
  <c r="A42" i="27"/>
  <c r="A39" i="27"/>
  <c r="A36" i="27"/>
  <c r="A32" i="27"/>
  <c r="A29" i="27"/>
  <c r="A25" i="27"/>
  <c r="A22" i="27"/>
  <c r="A19" i="27"/>
  <c r="A16" i="27"/>
  <c r="A13" i="27"/>
  <c r="A9" i="27"/>
  <c r="A74" i="28"/>
  <c r="A78" i="28"/>
  <c r="A81" i="28"/>
  <c r="A84" i="28"/>
  <c r="A62" i="28"/>
  <c r="A57" i="28"/>
  <c r="A54" i="28"/>
  <c r="A49" i="28"/>
  <c r="A45" i="28"/>
  <c r="A42" i="28"/>
  <c r="A39" i="28"/>
  <c r="A36" i="28"/>
  <c r="A32" i="28"/>
  <c r="A29" i="28"/>
  <c r="A25" i="28"/>
  <c r="A22" i="28"/>
  <c r="A19" i="28"/>
  <c r="A16" i="28"/>
  <c r="A13" i="28"/>
  <c r="A9" i="28"/>
  <c r="A85" i="29"/>
  <c r="A82" i="29"/>
  <c r="A79" i="29"/>
  <c r="A75" i="29"/>
  <c r="A63" i="29"/>
  <c r="A58" i="29"/>
  <c r="A55" i="29"/>
  <c r="A49" i="29"/>
  <c r="A45" i="29"/>
  <c r="A42" i="29"/>
  <c r="A39" i="29"/>
  <c r="A36" i="29"/>
  <c r="A32" i="29"/>
  <c r="A29" i="29"/>
  <c r="A25" i="29"/>
  <c r="A22" i="29"/>
  <c r="A19" i="29"/>
  <c r="A16" i="29"/>
  <c r="A13" i="29"/>
  <c r="A9" i="29"/>
  <c r="A83" i="30"/>
  <c r="A80" i="30"/>
  <c r="A77" i="30"/>
  <c r="A74" i="30"/>
  <c r="A62" i="30"/>
  <c r="A57" i="30"/>
  <c r="A53" i="30"/>
  <c r="A49" i="30"/>
  <c r="A45" i="30"/>
  <c r="A42" i="30"/>
  <c r="A39" i="30"/>
  <c r="A36" i="30"/>
  <c r="A32" i="30"/>
  <c r="A29" i="30"/>
  <c r="A25" i="30"/>
  <c r="A22" i="30"/>
  <c r="A19" i="30"/>
  <c r="A16" i="30"/>
  <c r="A13" i="30"/>
  <c r="A9" i="30"/>
  <c r="A79" i="31"/>
  <c r="A76" i="31"/>
  <c r="A73" i="31"/>
  <c r="A61" i="31"/>
  <c r="A56" i="31"/>
  <c r="A53" i="31"/>
  <c r="A49" i="31"/>
  <c r="A45" i="31"/>
  <c r="A42" i="31"/>
  <c r="A39" i="31"/>
  <c r="A36" i="31"/>
  <c r="A32" i="31"/>
  <c r="A29" i="31"/>
  <c r="A25" i="31"/>
  <c r="A22" i="31"/>
  <c r="A19" i="31"/>
  <c r="A16" i="31"/>
  <c r="A13" i="31"/>
  <c r="A9" i="31"/>
  <c r="A82" i="32"/>
  <c r="A79" i="32"/>
  <c r="A76" i="32"/>
  <c r="A73" i="32"/>
  <c r="A61" i="32"/>
  <c r="A56" i="32"/>
  <c r="A53" i="32"/>
  <c r="A49" i="32"/>
  <c r="A45" i="32"/>
  <c r="A42" i="32"/>
  <c r="A39" i="32"/>
  <c r="A36" i="32"/>
  <c r="A32" i="32"/>
  <c r="A29" i="32"/>
  <c r="A25" i="32"/>
  <c r="A22" i="32"/>
  <c r="A19" i="32"/>
  <c r="A16" i="32"/>
  <c r="A13" i="32"/>
  <c r="A9" i="32"/>
  <c r="A79" i="33"/>
  <c r="A76" i="33"/>
  <c r="A73" i="33"/>
  <c r="A61" i="33"/>
  <c r="A56" i="33"/>
  <c r="A53" i="33"/>
  <c r="A49" i="33"/>
  <c r="A45" i="33"/>
  <c r="A42" i="33"/>
  <c r="A39" i="33"/>
  <c r="A36" i="33"/>
  <c r="A32" i="33"/>
  <c r="A29" i="33"/>
  <c r="A25" i="33"/>
  <c r="A22" i="33"/>
  <c r="A19" i="33"/>
  <c r="A16" i="33"/>
  <c r="A13" i="33"/>
  <c r="A9" i="33"/>
  <c r="A81" i="34"/>
  <c r="A78" i="34"/>
  <c r="A74" i="34"/>
  <c r="A62" i="34"/>
  <c r="A57" i="34"/>
  <c r="A54" i="34"/>
  <c r="A49" i="34"/>
  <c r="A45" i="34"/>
  <c r="A42" i="34"/>
  <c r="A39" i="34"/>
  <c r="A36" i="34"/>
  <c r="A32" i="34"/>
  <c r="A29" i="34"/>
  <c r="A25" i="34"/>
  <c r="A22" i="34"/>
  <c r="A19" i="34"/>
  <c r="A16" i="34"/>
  <c r="A13" i="34"/>
  <c r="A9" i="34"/>
  <c r="A62" i="35"/>
  <c r="A57" i="35"/>
  <c r="A54" i="35"/>
  <c r="A49" i="35"/>
  <c r="A45" i="35"/>
  <c r="A42" i="35"/>
  <c r="A39" i="35"/>
  <c r="A36" i="35"/>
  <c r="A32" i="35"/>
  <c r="A29" i="35"/>
  <c r="A25" i="35"/>
  <c r="A22" i="35"/>
  <c r="A19" i="35"/>
  <c r="A16" i="35"/>
  <c r="A13" i="35"/>
  <c r="A84" i="35"/>
  <c r="A81" i="35"/>
  <c r="A78" i="35"/>
  <c r="A74" i="35"/>
  <c r="A9" i="35"/>
  <c r="A79" i="36"/>
  <c r="A76" i="36"/>
  <c r="A73" i="36"/>
  <c r="A61" i="36"/>
  <c r="A56" i="36"/>
  <c r="A53" i="36"/>
  <c r="A49" i="36"/>
  <c r="A45" i="36"/>
  <c r="A42" i="36"/>
  <c r="A39" i="36"/>
  <c r="A36" i="36"/>
  <c r="A32" i="36"/>
  <c r="A29" i="36"/>
  <c r="A25" i="36"/>
  <c r="A22" i="36"/>
  <c r="A19" i="36"/>
  <c r="A16" i="36"/>
  <c r="A13" i="36"/>
  <c r="A9" i="36"/>
  <c r="A79" i="37"/>
  <c r="A76" i="37"/>
  <c r="A73" i="37"/>
  <c r="A61" i="37"/>
  <c r="A56" i="37"/>
  <c r="A53" i="37"/>
  <c r="A49" i="37"/>
  <c r="A45" i="37"/>
  <c r="A42" i="37"/>
  <c r="A39" i="37"/>
  <c r="A36" i="37"/>
  <c r="A32" i="37"/>
  <c r="A29" i="37"/>
  <c r="A25" i="37"/>
  <c r="A22" i="37"/>
  <c r="A19" i="37"/>
  <c r="A16" i="37"/>
  <c r="A13" i="37"/>
  <c r="A9" i="37"/>
  <c r="A83" i="38"/>
  <c r="A80" i="38"/>
  <c r="A76" i="38"/>
  <c r="A73" i="38"/>
  <c r="A61" i="38"/>
  <c r="A56" i="38"/>
  <c r="A53" i="38"/>
  <c r="A49" i="38"/>
  <c r="A45" i="38"/>
  <c r="A42" i="38"/>
  <c r="A39" i="38"/>
  <c r="A36" i="38"/>
  <c r="A32" i="38"/>
  <c r="A29" i="38"/>
  <c r="A25" i="38"/>
  <c r="A22" i="38"/>
  <c r="A19" i="38"/>
  <c r="A16" i="38"/>
  <c r="A13" i="38"/>
  <c r="A9" i="38"/>
  <c r="A80" i="39"/>
  <c r="A76" i="39"/>
  <c r="A73" i="39"/>
  <c r="A61" i="39"/>
  <c r="A56" i="39"/>
  <c r="A53" i="39"/>
  <c r="A49" i="39"/>
  <c r="A45" i="39"/>
  <c r="A42" i="39"/>
  <c r="A39" i="39"/>
  <c r="A36" i="39"/>
  <c r="A32" i="39"/>
  <c r="A29" i="39"/>
  <c r="A25" i="39"/>
  <c r="A22" i="39"/>
  <c r="A19" i="39"/>
  <c r="A16" i="39"/>
  <c r="A13" i="39"/>
  <c r="A9" i="39"/>
  <c r="A80" i="40"/>
  <c r="A76" i="40"/>
  <c r="A73" i="40"/>
  <c r="A61" i="40"/>
  <c r="A56" i="40"/>
  <c r="A53" i="40"/>
  <c r="A49" i="40"/>
  <c r="A45" i="40"/>
  <c r="A42" i="40"/>
  <c r="A39" i="40"/>
  <c r="A36" i="40"/>
  <c r="A32" i="40"/>
  <c r="A29" i="40"/>
  <c r="A25" i="40"/>
  <c r="A22" i="40"/>
  <c r="A19" i="40"/>
  <c r="A16" i="40"/>
  <c r="A13" i="40"/>
  <c r="A9" i="40"/>
  <c r="A76" i="41"/>
  <c r="A73" i="41"/>
  <c r="A70" i="41"/>
  <c r="A58" i="41"/>
  <c r="A53" i="41"/>
  <c r="A50" i="41"/>
  <c r="A46" i="41"/>
  <c r="A42" i="41"/>
  <c r="A39" i="41"/>
  <c r="A36" i="41"/>
  <c r="A33" i="41"/>
  <c r="A29" i="41"/>
  <c r="A26" i="41"/>
  <c r="A22" i="41"/>
  <c r="A19" i="41"/>
  <c r="A16" i="41"/>
  <c r="A13" i="41"/>
  <c r="A9" i="41"/>
  <c r="A76" i="42"/>
  <c r="A73" i="42"/>
  <c r="A70" i="42"/>
  <c r="A58" i="42"/>
  <c r="A53" i="42"/>
  <c r="A50" i="42"/>
  <c r="A46" i="42"/>
  <c r="A42" i="42"/>
  <c r="A39" i="42"/>
  <c r="A36" i="42"/>
  <c r="A33" i="42"/>
  <c r="A29" i="42"/>
  <c r="A26" i="42"/>
  <c r="A22" i="42"/>
  <c r="A19" i="42"/>
  <c r="A16" i="42"/>
  <c r="A13" i="42"/>
  <c r="A9" i="42"/>
  <c r="A79" i="43"/>
  <c r="A76" i="43"/>
  <c r="A73" i="43"/>
  <c r="A61" i="43"/>
  <c r="A56" i="43"/>
  <c r="A53" i="43"/>
  <c r="A49" i="43"/>
  <c r="A45" i="43"/>
  <c r="A42" i="43"/>
  <c r="A39" i="43"/>
  <c r="A36" i="43"/>
  <c r="A32" i="43"/>
  <c r="A29" i="43"/>
  <c r="A25" i="43"/>
  <c r="A22" i="43"/>
  <c r="A19" i="43"/>
  <c r="A16" i="43"/>
  <c r="A13" i="43"/>
  <c r="A9" i="43"/>
  <c r="A81" i="44"/>
  <c r="A78" i="44"/>
  <c r="A74" i="44"/>
  <c r="A62" i="44"/>
  <c r="A57" i="44"/>
  <c r="A54" i="44"/>
  <c r="A49" i="44"/>
  <c r="A45" i="44"/>
  <c r="A42" i="44"/>
  <c r="A39" i="44"/>
  <c r="A36" i="44"/>
  <c r="A32" i="44"/>
  <c r="A29" i="44"/>
  <c r="A25" i="44"/>
  <c r="A22" i="44"/>
  <c r="A19" i="44"/>
  <c r="A16" i="44"/>
  <c r="A13" i="44"/>
  <c r="A9" i="44"/>
  <c r="A84" i="45"/>
  <c r="A79" i="45"/>
  <c r="A76" i="45"/>
  <c r="A73" i="45"/>
  <c r="A61" i="45"/>
  <c r="A56" i="45"/>
  <c r="A53" i="45"/>
  <c r="A49" i="45"/>
  <c r="A45" i="45"/>
  <c r="A42" i="45"/>
  <c r="A39" i="45"/>
  <c r="A36" i="45"/>
  <c r="A32" i="45"/>
  <c r="A29" i="45"/>
  <c r="A25" i="45"/>
  <c r="A22" i="45"/>
  <c r="A19" i="45"/>
  <c r="A16" i="45"/>
  <c r="A13" i="45"/>
  <c r="A9" i="45"/>
  <c r="A81" i="46"/>
  <c r="A78" i="46"/>
  <c r="A75" i="46"/>
  <c r="A71" i="46"/>
  <c r="A59" i="46"/>
  <c r="A54" i="46"/>
  <c r="A51" i="46"/>
  <c r="A46" i="46"/>
  <c r="A42" i="46"/>
  <c r="A39" i="46"/>
  <c r="A36" i="46"/>
  <c r="A33" i="46"/>
  <c r="A29" i="46"/>
  <c r="A26" i="46"/>
  <c r="A22" i="46"/>
  <c r="A19" i="46"/>
  <c r="A16" i="46"/>
  <c r="A13" i="46"/>
  <c r="A9" i="46"/>
  <c r="A85" i="47"/>
  <c r="A82" i="47"/>
  <c r="A79" i="47"/>
  <c r="A75" i="47"/>
  <c r="A62" i="47"/>
  <c r="A57" i="47"/>
  <c r="A54" i="47"/>
  <c r="A49" i="47"/>
  <c r="A45" i="47"/>
  <c r="A42" i="47"/>
  <c r="A39" i="47"/>
  <c r="A36" i="47"/>
  <c r="A32" i="47"/>
  <c r="A29" i="47"/>
  <c r="A25" i="47"/>
  <c r="A22" i="47"/>
  <c r="A19" i="47"/>
  <c r="A16" i="47"/>
  <c r="A13" i="47"/>
  <c r="A9" i="47"/>
  <c r="A76" i="48"/>
  <c r="A73" i="48"/>
  <c r="A70" i="48"/>
  <c r="A58" i="48"/>
  <c r="A53" i="48"/>
  <c r="A50" i="48"/>
  <c r="A46" i="48"/>
  <c r="A42" i="48"/>
  <c r="A39" i="48"/>
  <c r="A36" i="48"/>
  <c r="A33" i="48"/>
  <c r="A29" i="48"/>
  <c r="A26" i="48"/>
  <c r="A22" i="48"/>
  <c r="A19" i="48"/>
  <c r="A16" i="48"/>
  <c r="A13" i="48"/>
  <c r="A9" i="48"/>
  <c r="A78" i="49"/>
  <c r="A75" i="49"/>
  <c r="A71" i="49"/>
  <c r="A59" i="49"/>
  <c r="A54" i="49"/>
  <c r="A51" i="49"/>
  <c r="A46" i="49"/>
  <c r="A42" i="49"/>
  <c r="A39" i="49"/>
  <c r="A36" i="49"/>
  <c r="A33" i="49"/>
  <c r="A29" i="49"/>
  <c r="A26" i="49"/>
  <c r="A22" i="49"/>
  <c r="A19" i="49"/>
  <c r="A16" i="49"/>
  <c r="A13" i="49"/>
  <c r="A9" i="49"/>
  <c r="A85" i="50"/>
  <c r="A82" i="50"/>
  <c r="A79" i="50"/>
  <c r="A75" i="50"/>
  <c r="A62" i="50"/>
  <c r="A57" i="50"/>
  <c r="A54" i="50"/>
  <c r="A49" i="50"/>
  <c r="A45" i="50"/>
  <c r="A42" i="50"/>
  <c r="A39" i="50"/>
  <c r="A36" i="50"/>
  <c r="A32" i="50"/>
  <c r="A29" i="50"/>
  <c r="A25" i="50"/>
  <c r="A22" i="50"/>
  <c r="A19" i="50"/>
  <c r="A16" i="50"/>
  <c r="A13" i="50"/>
  <c r="A9" i="50"/>
  <c r="A71" i="51"/>
  <c r="A75" i="51"/>
  <c r="A78" i="51"/>
  <c r="A59" i="51"/>
  <c r="A54" i="51"/>
  <c r="A51" i="51"/>
  <c r="A46" i="51"/>
  <c r="A42" i="51"/>
  <c r="A39" i="51"/>
  <c r="A36" i="51"/>
  <c r="A33" i="51"/>
  <c r="A29" i="51"/>
  <c r="A26" i="51"/>
  <c r="A22" i="51"/>
  <c r="A19" i="51"/>
  <c r="A16" i="51"/>
  <c r="A13" i="51"/>
  <c r="A9" i="51"/>
  <c r="A76" i="52"/>
  <c r="A73" i="52"/>
  <c r="A70" i="52"/>
  <c r="A58" i="52"/>
  <c r="A53" i="52"/>
  <c r="A50" i="52"/>
  <c r="A46" i="52"/>
  <c r="A42" i="52"/>
  <c r="A39" i="52"/>
  <c r="A36" i="52"/>
  <c r="A33" i="52"/>
  <c r="A29" i="52"/>
  <c r="A26" i="52"/>
  <c r="A22" i="52"/>
  <c r="A19" i="52"/>
  <c r="A16" i="52"/>
  <c r="A13" i="52"/>
  <c r="A9" i="52"/>
  <c r="A83" i="53"/>
  <c r="A80" i="53"/>
  <c r="A77" i="53"/>
  <c r="A74" i="53"/>
  <c r="A62" i="53"/>
  <c r="A57" i="53"/>
  <c r="A54" i="53"/>
  <c r="A49" i="53"/>
  <c r="A45" i="53"/>
  <c r="A42" i="53"/>
  <c r="A39" i="53"/>
  <c r="A36" i="53"/>
  <c r="A32" i="53"/>
  <c r="A29" i="53"/>
  <c r="A25" i="53"/>
  <c r="A22" i="53"/>
  <c r="A19" i="53"/>
  <c r="A16" i="53"/>
  <c r="A13" i="53"/>
  <c r="A9" i="53"/>
  <c r="A79" i="54"/>
  <c r="A76" i="54"/>
  <c r="A73" i="54"/>
  <c r="A61" i="54"/>
  <c r="A56" i="54"/>
  <c r="A53" i="54"/>
  <c r="A49" i="54"/>
  <c r="A45" i="54"/>
  <c r="A42" i="54"/>
  <c r="A39" i="54"/>
  <c r="A36" i="54"/>
  <c r="A32" i="54"/>
  <c r="A29" i="54"/>
  <c r="A25" i="54"/>
  <c r="A22" i="54"/>
  <c r="A19" i="54"/>
  <c r="A16" i="54"/>
  <c r="A13" i="54"/>
  <c r="A9" i="54"/>
  <c r="A86" i="55"/>
  <c r="A83" i="55"/>
  <c r="A80" i="55"/>
  <c r="A76" i="55"/>
  <c r="A58" i="55"/>
  <c r="A54" i="55"/>
  <c r="A49" i="55"/>
  <c r="A45" i="55"/>
  <c r="A42" i="55"/>
  <c r="A39" i="55"/>
  <c r="A36" i="55"/>
  <c r="A32" i="55"/>
  <c r="A29" i="55"/>
  <c r="A25" i="55"/>
  <c r="A22" i="55"/>
  <c r="A19" i="55"/>
  <c r="A16" i="55"/>
  <c r="A13" i="55"/>
  <c r="A9" i="55"/>
  <c r="A83" i="56"/>
  <c r="A80" i="56"/>
  <c r="A76" i="56"/>
  <c r="A63" i="56"/>
  <c r="A58" i="56"/>
  <c r="A54" i="56"/>
  <c r="A49" i="56"/>
  <c r="A45" i="56"/>
  <c r="A42" i="56"/>
  <c r="A39" i="56"/>
  <c r="A36" i="56"/>
  <c r="A32" i="56"/>
  <c r="A29" i="56"/>
  <c r="A25" i="56"/>
  <c r="A22" i="56"/>
  <c r="A19" i="56"/>
  <c r="A16" i="56"/>
  <c r="A13" i="56"/>
  <c r="A9" i="56"/>
  <c r="A83" i="24"/>
  <c r="A79" i="24"/>
  <c r="A76" i="24"/>
  <c r="A73" i="24"/>
  <c r="A61" i="24"/>
  <c r="A56" i="24"/>
  <c r="A53" i="24"/>
  <c r="A49" i="24"/>
  <c r="A45" i="24"/>
  <c r="A42" i="24"/>
  <c r="A39" i="24"/>
  <c r="A36" i="24"/>
  <c r="A32" i="24"/>
  <c r="A29" i="24"/>
  <c r="A25" i="24"/>
  <c r="A22" i="24"/>
  <c r="A19" i="24"/>
  <c r="A16" i="24"/>
  <c r="A13" i="24"/>
  <c r="A9" i="24"/>
  <c r="A84" i="23"/>
  <c r="A79" i="23"/>
  <c r="A76" i="23"/>
  <c r="A73" i="23"/>
  <c r="A61" i="23"/>
  <c r="A56" i="23"/>
  <c r="A53" i="23"/>
  <c r="A49" i="23"/>
  <c r="A45" i="23"/>
  <c r="A42" i="23"/>
  <c r="A39" i="23"/>
  <c r="A36" i="23"/>
  <c r="A32" i="23"/>
  <c r="A29" i="23"/>
  <c r="A25" i="23"/>
  <c r="A22" i="23"/>
  <c r="A19" i="23"/>
  <c r="A16" i="23"/>
  <c r="A13" i="23"/>
  <c r="A9" i="23"/>
  <c r="A69" i="57"/>
  <c r="A66" i="57"/>
  <c r="A54" i="57"/>
  <c r="A49" i="57"/>
  <c r="A46" i="57"/>
  <c r="A42" i="57"/>
  <c r="A39" i="57"/>
  <c r="A36" i="57"/>
  <c r="A33" i="57"/>
  <c r="A29" i="57"/>
  <c r="A26" i="57"/>
  <c r="A22" i="57"/>
  <c r="A19" i="57"/>
  <c r="A16" i="57"/>
  <c r="A13" i="57"/>
  <c r="A9" i="57"/>
  <c r="A76" i="22"/>
  <c r="A73" i="22"/>
  <c r="A70" i="22"/>
  <c r="A58" i="22"/>
  <c r="A53" i="22"/>
  <c r="A50" i="22"/>
  <c r="A46" i="22"/>
  <c r="A42" i="22"/>
  <c r="A39" i="22"/>
  <c r="A36" i="22"/>
  <c r="A33" i="22"/>
  <c r="A29" i="22"/>
  <c r="A26" i="22"/>
  <c r="A22" i="22"/>
  <c r="A19" i="22"/>
  <c r="A16" i="22"/>
  <c r="A13" i="22"/>
  <c r="A9" i="22"/>
  <c r="A81" i="21"/>
  <c r="A78" i="21"/>
  <c r="A74" i="21"/>
  <c r="A62" i="21"/>
  <c r="A57" i="21"/>
  <c r="A54" i="21"/>
  <c r="A49" i="21"/>
  <c r="A45" i="21"/>
  <c r="A42" i="21"/>
  <c r="A39" i="21"/>
  <c r="A36" i="21"/>
  <c r="A32" i="21"/>
  <c r="A29" i="21"/>
  <c r="A25" i="21"/>
  <c r="A22" i="21"/>
  <c r="A19" i="21"/>
  <c r="A16" i="21"/>
  <c r="A13" i="21"/>
  <c r="A9" i="21"/>
  <c r="A76" i="20"/>
  <c r="A79" i="20"/>
  <c r="A73" i="20"/>
  <c r="A61" i="20"/>
  <c r="A56" i="20"/>
  <c r="A53" i="20"/>
  <c r="A49" i="20"/>
  <c r="A45" i="20"/>
  <c r="A42" i="20"/>
  <c r="A39" i="20"/>
  <c r="A36" i="20"/>
  <c r="A32" i="20"/>
  <c r="A29" i="20"/>
  <c r="A25" i="20"/>
  <c r="A22" i="20"/>
  <c r="A19" i="20"/>
  <c r="A16" i="20"/>
  <c r="A13" i="20"/>
  <c r="A9" i="20"/>
  <c r="A81" i="19"/>
  <c r="A78" i="19"/>
  <c r="A74" i="19"/>
  <c r="A62" i="19"/>
  <c r="A57" i="19"/>
  <c r="A54" i="19"/>
  <c r="A49" i="19"/>
  <c r="A45" i="19"/>
  <c r="A42" i="19"/>
  <c r="A39" i="19"/>
  <c r="A36" i="19"/>
  <c r="A32" i="19"/>
  <c r="A29" i="19"/>
  <c r="A25" i="19"/>
  <c r="A22" i="19"/>
  <c r="A19" i="19"/>
  <c r="A16" i="19"/>
  <c r="A13" i="19"/>
  <c r="A9" i="19"/>
  <c r="A81" i="18"/>
  <c r="A78" i="18"/>
  <c r="A74" i="18"/>
  <c r="A62" i="18"/>
  <c r="A57" i="18"/>
  <c r="A54" i="18"/>
  <c r="A49" i="18"/>
  <c r="A45" i="18"/>
  <c r="A42" i="18"/>
  <c r="A39" i="18"/>
  <c r="A36" i="18"/>
  <c r="A32" i="18"/>
  <c r="A29" i="18"/>
  <c r="A25" i="18"/>
  <c r="A22" i="18"/>
  <c r="A19" i="18"/>
  <c r="A16" i="18"/>
  <c r="A13" i="18"/>
  <c r="A9" i="18"/>
  <c r="A81" i="17"/>
  <c r="A78" i="17"/>
  <c r="A74" i="17"/>
  <c r="A62" i="17"/>
  <c r="A57" i="17"/>
  <c r="A54" i="17"/>
  <c r="A49" i="17"/>
  <c r="A45" i="17"/>
  <c r="A42" i="17"/>
  <c r="A39" i="17"/>
  <c r="A36" i="17"/>
  <c r="A32" i="17"/>
  <c r="A29" i="17"/>
  <c r="A25" i="17"/>
  <c r="A22" i="17"/>
  <c r="A19" i="17"/>
  <c r="A16" i="17"/>
  <c r="A13" i="17"/>
  <c r="A9" i="17"/>
  <c r="A81" i="16"/>
  <c r="A78" i="16"/>
  <c r="A74" i="16"/>
  <c r="A62" i="16"/>
  <c r="A57" i="16"/>
  <c r="A54" i="16"/>
  <c r="A49" i="16"/>
  <c r="A45" i="16"/>
  <c r="A42" i="16"/>
  <c r="A39" i="16"/>
  <c r="A36" i="16"/>
  <c r="A32" i="16"/>
  <c r="A29" i="16"/>
  <c r="A25" i="16"/>
  <c r="A22" i="16"/>
  <c r="A19" i="16"/>
  <c r="A16" i="16"/>
  <c r="A13" i="16"/>
  <c r="A9" i="16"/>
  <c r="A79" i="15"/>
  <c r="A76" i="15"/>
  <c r="A73" i="15"/>
  <c r="A61" i="15"/>
  <c r="A56" i="15"/>
  <c r="A53" i="15"/>
  <c r="A49" i="15"/>
  <c r="A45" i="15"/>
  <c r="A42" i="15"/>
  <c r="A39" i="15"/>
  <c r="A36" i="15"/>
  <c r="A32" i="15"/>
  <c r="A29" i="15"/>
  <c r="A25" i="15"/>
  <c r="A22" i="15"/>
  <c r="A19" i="15"/>
  <c r="A16" i="15"/>
  <c r="A13" i="15"/>
  <c r="A9" i="15"/>
  <c r="A78" i="14"/>
  <c r="A75" i="14"/>
  <c r="A72" i="14"/>
  <c r="A59" i="14"/>
  <c r="A54" i="14"/>
  <c r="A51" i="14"/>
  <c r="A46" i="14"/>
  <c r="A42" i="14"/>
  <c r="A39" i="14"/>
  <c r="A36" i="14"/>
  <c r="A33" i="14"/>
  <c r="A29" i="14"/>
  <c r="A26" i="14"/>
  <c r="A22" i="14"/>
  <c r="A19" i="14"/>
  <c r="A16" i="14"/>
  <c r="A13" i="14"/>
  <c r="A9" i="14"/>
  <c r="A78" i="13"/>
  <c r="A75" i="13"/>
  <c r="A71" i="13"/>
  <c r="A59" i="13"/>
  <c r="A54" i="13"/>
  <c r="A51" i="13"/>
  <c r="A46" i="13"/>
  <c r="A42" i="13"/>
  <c r="A39" i="13"/>
  <c r="A36" i="13"/>
  <c r="A33" i="13"/>
  <c r="A29" i="13"/>
  <c r="A26" i="13"/>
  <c r="A22" i="13"/>
  <c r="A19" i="13"/>
  <c r="A16" i="13"/>
  <c r="A13" i="13"/>
  <c r="A9" i="13"/>
  <c r="A38" i="12"/>
  <c r="A33" i="12"/>
  <c r="A30" i="12"/>
  <c r="A27" i="12"/>
  <c r="A24" i="12"/>
  <c r="A20" i="12"/>
  <c r="A16" i="12"/>
  <c r="A13" i="12"/>
  <c r="A9" i="12"/>
  <c r="A79" i="11"/>
  <c r="A76" i="11"/>
  <c r="A73" i="11"/>
  <c r="A70" i="11"/>
  <c r="A58" i="11"/>
  <c r="A53" i="11"/>
  <c r="A50" i="11"/>
  <c r="A46" i="11"/>
  <c r="A42" i="11"/>
  <c r="A39" i="11"/>
  <c r="A36" i="11"/>
  <c r="A33" i="11"/>
  <c r="A29" i="11"/>
  <c r="A26" i="11"/>
  <c r="A22" i="11"/>
  <c r="A19" i="11"/>
  <c r="A16" i="11"/>
  <c r="A13" i="11"/>
  <c r="A9" i="11"/>
  <c r="A79" i="10"/>
  <c r="A76" i="10"/>
  <c r="A73" i="10"/>
  <c r="A70" i="10"/>
  <c r="A58" i="10"/>
  <c r="A53" i="10"/>
  <c r="A50" i="10"/>
  <c r="A46" i="10"/>
  <c r="A42" i="10"/>
  <c r="A39" i="10"/>
  <c r="A36" i="10"/>
  <c r="A33" i="10"/>
  <c r="A29" i="10"/>
  <c r="A26" i="10"/>
  <c r="A22" i="10"/>
  <c r="A19" i="10"/>
  <c r="A16" i="10"/>
  <c r="A13" i="10"/>
  <c r="A9" i="10"/>
  <c r="A79" i="9"/>
  <c r="A76" i="9"/>
  <c r="A73" i="9"/>
  <c r="A61" i="9"/>
  <c r="A56" i="9"/>
  <c r="A53" i="9"/>
  <c r="A49" i="9"/>
  <c r="A45" i="9"/>
  <c r="A42" i="9"/>
  <c r="A39" i="9"/>
  <c r="A36" i="9"/>
  <c r="A32" i="9"/>
  <c r="A29" i="9"/>
  <c r="A25" i="9"/>
  <c r="A22" i="9"/>
  <c r="A19" i="9"/>
  <c r="A16" i="9"/>
  <c r="A13" i="9"/>
  <c r="A9" i="9"/>
  <c r="A79" i="8"/>
  <c r="A76" i="8"/>
  <c r="A73" i="8"/>
  <c r="A61" i="8"/>
  <c r="A56" i="8"/>
  <c r="A53" i="8"/>
  <c r="A49" i="8"/>
  <c r="A45" i="8"/>
  <c r="A42" i="8"/>
  <c r="A39" i="8"/>
  <c r="A36" i="8"/>
  <c r="A32" i="8"/>
  <c r="A29" i="8"/>
  <c r="A25" i="8"/>
  <c r="A22" i="8"/>
  <c r="A19" i="8"/>
  <c r="A16" i="8"/>
  <c r="A13" i="8"/>
  <c r="A9" i="8"/>
  <c r="A76" i="7"/>
  <c r="A73" i="7"/>
  <c r="A70" i="7"/>
  <c r="A58" i="7"/>
  <c r="A53" i="7"/>
  <c r="A50" i="7"/>
  <c r="A46" i="7"/>
  <c r="A42" i="7"/>
  <c r="A39" i="7"/>
  <c r="A36" i="7"/>
  <c r="A33" i="7"/>
  <c r="A29" i="7"/>
  <c r="A26" i="7"/>
  <c r="A22" i="7"/>
  <c r="A19" i="7"/>
  <c r="A16" i="7"/>
  <c r="A13" i="7"/>
  <c r="A9" i="7"/>
  <c r="A82" i="6"/>
  <c r="A79" i="6"/>
  <c r="A76" i="6"/>
  <c r="A73" i="6"/>
  <c r="A61" i="6"/>
  <c r="A56" i="6"/>
  <c r="A53" i="6"/>
  <c r="A49" i="6"/>
  <c r="A45" i="6"/>
  <c r="A42" i="6"/>
  <c r="A39" i="6"/>
  <c r="A36" i="6"/>
  <c r="A32" i="6"/>
  <c r="A29" i="6"/>
  <c r="A25" i="6"/>
  <c r="A22" i="6"/>
  <c r="A19" i="6"/>
  <c r="A16" i="6"/>
  <c r="A13" i="6"/>
  <c r="A9" i="6"/>
  <c r="A83" i="5"/>
  <c r="A80" i="5"/>
  <c r="A76" i="5"/>
  <c r="A63" i="5"/>
  <c r="A58" i="5"/>
  <c r="A54" i="5"/>
  <c r="A49" i="5"/>
  <c r="A45" i="5"/>
  <c r="A42" i="5"/>
  <c r="A39" i="5"/>
  <c r="A36" i="5"/>
  <c r="A32" i="5"/>
  <c r="A29" i="5"/>
  <c r="A25" i="5"/>
  <c r="A22" i="5"/>
  <c r="A19" i="5"/>
  <c r="A16" i="5"/>
  <c r="A13" i="5"/>
  <c r="A9" i="5"/>
  <c r="A90" i="4"/>
  <c r="A83" i="4"/>
  <c r="A80" i="4"/>
  <c r="A76" i="4"/>
  <c r="A64" i="4"/>
  <c r="A59" i="4"/>
  <c r="A55" i="4"/>
  <c r="A49" i="4"/>
  <c r="A45" i="4"/>
  <c r="A42" i="4"/>
  <c r="A39" i="4"/>
  <c r="A36" i="4"/>
  <c r="A32" i="4"/>
  <c r="A29" i="4"/>
  <c r="A25" i="4"/>
  <c r="A22" i="4"/>
  <c r="A19" i="4"/>
  <c r="A16" i="4"/>
  <c r="A13" i="4"/>
  <c r="A9" i="4"/>
  <c r="D82" i="1" l="1"/>
  <c r="A8" i="25"/>
  <c r="A83" i="25"/>
  <c r="A8" i="26"/>
  <c r="A86" i="26"/>
  <c r="A8" i="27"/>
  <c r="A86" i="27"/>
  <c r="A8" i="28"/>
  <c r="A86" i="28"/>
  <c r="A8" i="29"/>
  <c r="A87" i="29"/>
  <c r="A8" i="30"/>
  <c r="A82" i="30"/>
  <c r="A85" i="30"/>
  <c r="A8" i="31"/>
  <c r="A81" i="31"/>
  <c r="A8" i="32"/>
  <c r="A84" i="32"/>
  <c r="A8" i="33"/>
  <c r="A81" i="33"/>
  <c r="A8" i="34"/>
  <c r="A83" i="34"/>
  <c r="A8" i="35"/>
  <c r="A86" i="35"/>
  <c r="A81" i="36"/>
  <c r="A8" i="37"/>
  <c r="A81" i="37"/>
  <c r="A8" i="38"/>
  <c r="A85" i="38"/>
  <c r="A8" i="39"/>
  <c r="A82" i="39"/>
  <c r="A8" i="40"/>
  <c r="A82" i="40"/>
  <c r="A8" i="41"/>
  <c r="A78" i="41"/>
  <c r="A8" i="42"/>
  <c r="A78" i="42"/>
  <c r="A8" i="43"/>
  <c r="A81" i="43"/>
  <c r="A8" i="44"/>
  <c r="A83" i="44"/>
  <c r="A8" i="45"/>
  <c r="A86" i="45"/>
  <c r="A8" i="46"/>
  <c r="A83" i="46"/>
  <c r="A8" i="47"/>
  <c r="A87" i="47"/>
  <c r="A8" i="48"/>
  <c r="A78" i="48"/>
  <c r="A8" i="49"/>
  <c r="A80" i="49"/>
  <c r="A8" i="50"/>
  <c r="A87" i="50"/>
  <c r="A8" i="51"/>
  <c r="A80" i="51"/>
  <c r="A8" i="52"/>
  <c r="A78" i="52"/>
  <c r="A8" i="53"/>
  <c r="A85" i="53"/>
  <c r="A8" i="54"/>
  <c r="A81" i="54"/>
  <c r="A8" i="55"/>
  <c r="A88" i="55"/>
  <c r="A85" i="56"/>
  <c r="A85" i="24"/>
  <c r="A86" i="23"/>
  <c r="A71" i="57"/>
  <c r="A78" i="22"/>
  <c r="A83" i="21"/>
  <c r="A81" i="20"/>
  <c r="A83" i="19"/>
  <c r="A83" i="18"/>
  <c r="A83" i="17"/>
  <c r="A83" i="16"/>
  <c r="A8" i="16"/>
  <c r="A81" i="15"/>
  <c r="A80" i="14"/>
  <c r="A80" i="13"/>
  <c r="A40" i="12"/>
  <c r="A81" i="11"/>
  <c r="A81" i="10"/>
  <c r="A81" i="9"/>
  <c r="A81" i="8"/>
  <c r="A78" i="7"/>
  <c r="A84" i="6"/>
  <c r="A85" i="5"/>
  <c r="A92" i="4"/>
  <c r="A5" i="2"/>
  <c r="A7" i="2"/>
  <c r="A8" i="56"/>
  <c r="A8" i="24"/>
  <c r="A8" i="23"/>
  <c r="A8" i="57"/>
  <c r="A8" i="22"/>
  <c r="A8" i="21"/>
  <c r="A8" i="20"/>
  <c r="A8" i="19"/>
  <c r="A8" i="18"/>
  <c r="A8" i="17"/>
  <c r="A8" i="15"/>
  <c r="A8" i="14"/>
  <c r="A8" i="13"/>
  <c r="A8" i="12"/>
  <c r="A8" i="11"/>
  <c r="A8" i="10"/>
  <c r="A8" i="9"/>
  <c r="A8" i="8"/>
  <c r="A8" i="7"/>
  <c r="A8" i="6"/>
  <c r="E82" i="1" l="1"/>
  <c r="E72" i="57" l="1"/>
  <c r="D72" i="57"/>
  <c r="F72" i="57" l="1"/>
  <c r="F44" i="2" s="1"/>
  <c r="F20" i="2" l="1"/>
  <c r="E86" i="56" l="1"/>
  <c r="D86" i="56"/>
  <c r="E89" i="55"/>
  <c r="D89" i="55"/>
  <c r="E82" i="54"/>
  <c r="D82" i="54"/>
  <c r="E86" i="53"/>
  <c r="D86" i="53"/>
  <c r="E79" i="52"/>
  <c r="D79" i="52"/>
  <c r="E81" i="51"/>
  <c r="D81" i="51"/>
  <c r="E88" i="50"/>
  <c r="D88" i="50"/>
  <c r="E81" i="49"/>
  <c r="D81" i="49"/>
  <c r="E79" i="48"/>
  <c r="D79" i="48"/>
  <c r="E88" i="47"/>
  <c r="D88" i="47"/>
  <c r="E84" i="46"/>
  <c r="D84" i="46"/>
  <c r="E87" i="45"/>
  <c r="D87" i="45"/>
  <c r="E84" i="44"/>
  <c r="D84" i="44"/>
  <c r="E82" i="43"/>
  <c r="D82" i="43"/>
  <c r="E79" i="42"/>
  <c r="D79" i="42"/>
  <c r="E79" i="41"/>
  <c r="D79" i="41"/>
  <c r="E83" i="40"/>
  <c r="D83" i="40"/>
  <c r="E83" i="39"/>
  <c r="D83" i="39"/>
  <c r="E86" i="38"/>
  <c r="D86" i="38"/>
  <c r="E82" i="37"/>
  <c r="D82" i="37"/>
  <c r="E82" i="36"/>
  <c r="D82" i="36"/>
  <c r="E87" i="35"/>
  <c r="D87" i="35"/>
  <c r="E84" i="34"/>
  <c r="D84" i="34"/>
  <c r="E82" i="33"/>
  <c r="D82" i="33"/>
  <c r="E85" i="32"/>
  <c r="D85" i="32"/>
  <c r="E82" i="31"/>
  <c r="D82" i="31"/>
  <c r="E86" i="30"/>
  <c r="D86" i="30"/>
  <c r="E88" i="29"/>
  <c r="D88" i="29"/>
  <c r="E87" i="28"/>
  <c r="D87" i="28"/>
  <c r="E87" i="27"/>
  <c r="D87" i="27"/>
  <c r="E87" i="26"/>
  <c r="D87" i="26"/>
  <c r="E84" i="25"/>
  <c r="D84" i="25"/>
  <c r="E86" i="24"/>
  <c r="D86" i="24"/>
  <c r="E87" i="23"/>
  <c r="D87" i="23"/>
  <c r="E79" i="22"/>
  <c r="D79" i="22"/>
  <c r="E84" i="21"/>
  <c r="D84" i="21"/>
  <c r="E82" i="20"/>
  <c r="D82" i="20"/>
  <c r="E84" i="19"/>
  <c r="D84" i="19"/>
  <c r="E84" i="18"/>
  <c r="D84" i="18"/>
  <c r="E84" i="17"/>
  <c r="D84" i="17"/>
  <c r="E84" i="16"/>
  <c r="D84" i="16"/>
  <c r="E82" i="15"/>
  <c r="D82" i="15"/>
  <c r="E81" i="14"/>
  <c r="D81" i="14"/>
  <c r="E86" i="5"/>
  <c r="E85" i="6"/>
  <c r="E79" i="7"/>
  <c r="E82" i="8"/>
  <c r="E82" i="9"/>
  <c r="E82" i="10"/>
  <c r="E82" i="11"/>
  <c r="E41" i="12"/>
  <c r="E81" i="13"/>
  <c r="D81" i="13"/>
  <c r="D41" i="12"/>
  <c r="D82" i="11"/>
  <c r="D82" i="10"/>
  <c r="D82" i="9"/>
  <c r="D82" i="8"/>
  <c r="D79" i="7"/>
  <c r="D85" i="6"/>
  <c r="D86" i="5"/>
  <c r="F82" i="11" l="1"/>
  <c r="F32" i="2" s="1"/>
  <c r="F41" i="12"/>
  <c r="F33" i="2" s="1"/>
  <c r="F79" i="41"/>
  <c r="F62" i="2" s="1"/>
  <c r="F83" i="40"/>
  <c r="F63" i="2" s="1"/>
  <c r="F83" i="39"/>
  <c r="F64" i="2" s="1"/>
  <c r="F86" i="5"/>
  <c r="F26" i="2" s="1"/>
  <c r="F84" i="25"/>
  <c r="F78" i="2" s="1"/>
  <c r="F87" i="26"/>
  <c r="F77" i="2" s="1"/>
  <c r="F87" i="27"/>
  <c r="F76" i="2" s="1"/>
  <c r="F87" i="28"/>
  <c r="F75" i="2" s="1"/>
  <c r="F79" i="7"/>
  <c r="F28" i="2" s="1"/>
  <c r="F84" i="19"/>
  <c r="F40" i="2" s="1"/>
  <c r="F84" i="21"/>
  <c r="F42" i="2" s="1"/>
  <c r="F79" i="22"/>
  <c r="F43" i="2" s="1"/>
  <c r="F87" i="23"/>
  <c r="F45" i="2" s="1"/>
  <c r="F87" i="35"/>
  <c r="F68" i="2" s="1"/>
  <c r="F84" i="18"/>
  <c r="F39" i="2" s="1"/>
  <c r="F86" i="38"/>
  <c r="F65" i="2" s="1"/>
  <c r="F86" i="56"/>
  <c r="F47" i="2" s="1"/>
  <c r="F85" i="6"/>
  <c r="F27" i="2" s="1"/>
  <c r="F82" i="9"/>
  <c r="F30" i="2" s="1"/>
  <c r="F82" i="15"/>
  <c r="F36" i="2" s="1"/>
  <c r="F84" i="16"/>
  <c r="F37" i="2" s="1"/>
  <c r="F84" i="17"/>
  <c r="F38" i="2" s="1"/>
  <c r="F86" i="24"/>
  <c r="F46" i="2" s="1"/>
  <c r="F86" i="30"/>
  <c r="F73" i="2" s="1"/>
  <c r="F82" i="31"/>
  <c r="F72" i="2" s="1"/>
  <c r="F85" i="32"/>
  <c r="F71" i="2" s="1"/>
  <c r="F82" i="33"/>
  <c r="F70" i="2" s="1"/>
  <c r="F84" i="34"/>
  <c r="F69" i="2" s="1"/>
  <c r="F82" i="37"/>
  <c r="F66" i="2" s="1"/>
  <c r="F84" i="46"/>
  <c r="F57" i="2" s="1"/>
  <c r="F88" i="47"/>
  <c r="F56" i="2" s="1"/>
  <c r="F79" i="48"/>
  <c r="F55" i="2" s="1"/>
  <c r="F81" i="49"/>
  <c r="F54" i="2" s="1"/>
  <c r="F88" i="50"/>
  <c r="F53" i="2" s="1"/>
  <c r="F81" i="51"/>
  <c r="F52" i="2" s="1"/>
  <c r="F79" i="52"/>
  <c r="F51" i="2" s="1"/>
  <c r="F86" i="53"/>
  <c r="F50" i="2" s="1"/>
  <c r="F82" i="54"/>
  <c r="F49" i="2" s="1"/>
  <c r="F89" i="55"/>
  <c r="F48" i="2" s="1"/>
  <c r="F82" i="10"/>
  <c r="F31" i="2" s="1"/>
  <c r="F82" i="8"/>
  <c r="F29" i="2" s="1"/>
  <c r="F81" i="13"/>
  <c r="F34" i="2" s="1"/>
  <c r="F81" i="14"/>
  <c r="F35" i="2" s="1"/>
  <c r="F82" i="20"/>
  <c r="F41" i="2" s="1"/>
  <c r="F88" i="29"/>
  <c r="F74" i="2" s="1"/>
  <c r="F82" i="36"/>
  <c r="F67" i="2" s="1"/>
  <c r="F79" i="42"/>
  <c r="F61" i="2" s="1"/>
  <c r="F82" i="43"/>
  <c r="F60" i="2" s="1"/>
  <c r="F84" i="44"/>
  <c r="F87" i="45"/>
  <c r="E93" i="4"/>
  <c r="D93" i="4"/>
  <c r="F93" i="4" l="1"/>
  <c r="F25" i="2" s="1"/>
  <c r="F59" i="2"/>
  <c r="F58" i="2"/>
  <c r="F82" i="1" l="1"/>
  <c r="F24" i="2" l="1"/>
  <c r="F79" i="2" s="1"/>
  <c r="F81" i="2" l="1"/>
  <c r="F83" i="2" l="1"/>
  <c r="F82" i="2"/>
  <c r="F84" i="2"/>
  <c r="F86" i="2" l="1"/>
  <c r="F96" i="2" s="1"/>
</calcChain>
</file>

<file path=xl/connections.xml><?xml version="1.0" encoding="utf-8"?>
<connections xmlns="http://schemas.openxmlformats.org/spreadsheetml/2006/main">
  <connection id="1" keepAlive="1" name="ThisWorkbookDataModel" description="Gegevens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pij.127-013-v0.3 Specificatie van de inschrijfsom (Raming).xlsx!Sander" type="102" refreshedVersion="7" minRefreshableVersion="5">
    <extLst>
      <ext xmlns:x15="http://schemas.microsoft.com/office/spreadsheetml/2010/11/main" uri="{DE250136-89BD-433C-8126-D09CA5730AF9}">
        <x15:connection id="Sander">
          <x15:rangePr sourceName="_xlcn.WorksheetConnection_Spij.127013v0.3SpecificatievandeinschrijfsomRaming.xlsxSander"/>
        </x15:connection>
      </ext>
    </extLst>
  </connection>
</connections>
</file>

<file path=xl/sharedStrings.xml><?xml version="1.0" encoding="utf-8"?>
<sst xmlns="http://schemas.openxmlformats.org/spreadsheetml/2006/main" count="6577" uniqueCount="550">
  <si>
    <t>TOTAALBLAD</t>
  </si>
  <si>
    <t>OMSCHRIJVING</t>
  </si>
  <si>
    <t>EENHEID</t>
  </si>
  <si>
    <t>TOTAALBEDRAG IN EURO</t>
  </si>
  <si>
    <t>SUBTOTAAL A</t>
  </si>
  <si>
    <t xml:space="preserve">Uitvoeringskosten    </t>
  </si>
  <si>
    <t xml:space="preserve">Algemene kosten   </t>
  </si>
  <si>
    <t xml:space="preserve">Winst &amp; Risico           </t>
  </si>
  <si>
    <t>STELPOST</t>
  </si>
  <si>
    <t>TOTAAL EXCL. BTW</t>
  </si>
  <si>
    <t>De Inschrijver(s)</t>
  </si>
  <si>
    <t>a)</t>
  </si>
  <si>
    <t>(handtekening + datum)</t>
  </si>
  <si>
    <t>b)</t>
  </si>
  <si>
    <t>c)</t>
  </si>
  <si>
    <t>SUBTOTAAL B</t>
  </si>
  <si>
    <t>Omschrijving onderwerp 1 EMVI (paragraaf 0.0.0 leidraad voor inschrijving)</t>
  </si>
  <si>
    <t>Toepassen aankondigingsborden</t>
  </si>
  <si>
    <t>EUR</t>
  </si>
  <si>
    <t>Toepassen verkeersmaatregelen en omleidingen</t>
  </si>
  <si>
    <t>Inrichten werkterrein</t>
  </si>
  <si>
    <t>Opruimen werkterrein</t>
  </si>
  <si>
    <t>Verwijderen en afvoeren fiets-voetgangersbrug</t>
  </si>
  <si>
    <t>Leveren en aanbrengen stootplaatconstructies</t>
  </si>
  <si>
    <t>m1</t>
  </si>
  <si>
    <t xml:space="preserve">Leveren en aanbrengen opleggingen </t>
  </si>
  <si>
    <t>m2</t>
  </si>
  <si>
    <t>Leveren en aanbrengen stalen leuningwerk</t>
  </si>
  <si>
    <t>Afwerken en inzaaien taluds/bermen</t>
  </si>
  <si>
    <t>Aankondigingsborden</t>
  </si>
  <si>
    <t>Opstellen tijdschema</t>
  </si>
  <si>
    <t xml:space="preserve">Opstellen ProjectKwaliteitsPlan (PKP) </t>
  </si>
  <si>
    <t>Opstellen werk- en keuringsplan</t>
  </si>
  <si>
    <t>Opstellen hijs- en demontageplan</t>
  </si>
  <si>
    <t>Verzekeringen</t>
  </si>
  <si>
    <t>Uitvoeren trillingsmetingen</t>
  </si>
  <si>
    <t>Opstellen verkeersplan</t>
  </si>
  <si>
    <t>Toepassen bereikbaarheidsvoorzieningen</t>
  </si>
  <si>
    <t>Toepassen milieumaatregelen</t>
  </si>
  <si>
    <t>Communicatie (informeren omwonenden e.d.)</t>
  </si>
  <si>
    <t>Opstellen VGM-plan</t>
  </si>
  <si>
    <t>Specificatie van de inschrijfsom bestek Spij.127</t>
  </si>
  <si>
    <t>Trillingsanalyse</t>
  </si>
  <si>
    <t>Trillingsmetingen</t>
  </si>
  <si>
    <t>AKK-07</t>
  </si>
  <si>
    <t>Brug 1 Sikkelvoorde</t>
  </si>
  <si>
    <t>AKK-09</t>
  </si>
  <si>
    <t>Brug Anijsdonk</t>
  </si>
  <si>
    <t>AKK-12</t>
  </si>
  <si>
    <t>Brug 1 Lavasdonk</t>
  </si>
  <si>
    <t>CEN-02</t>
  </si>
  <si>
    <t>Brug Smidsslop</t>
  </si>
  <si>
    <t>EEK-02</t>
  </si>
  <si>
    <t>Brug 1 Vlinderveen</t>
  </si>
  <si>
    <t>EEK-03</t>
  </si>
  <si>
    <t>Brug 2 Vlinderveen</t>
  </si>
  <si>
    <t>EEK-05</t>
  </si>
  <si>
    <t>Brug 4 Vlinderveen</t>
  </si>
  <si>
    <t>EEK-06</t>
  </si>
  <si>
    <t>Brug 5 Vlinderveen</t>
  </si>
  <si>
    <t>EEK-07</t>
  </si>
  <si>
    <t>Brug 6 Vlinderveen</t>
  </si>
  <si>
    <t>EEK-09</t>
  </si>
  <si>
    <t>Brug 8 Vlinderveen</t>
  </si>
  <si>
    <t>EEK-10</t>
  </si>
  <si>
    <t>Brug 9 Vlinderveen</t>
  </si>
  <si>
    <t>HEK-03</t>
  </si>
  <si>
    <t>Brug Zwaag</t>
  </si>
  <si>
    <t>HOE-01</t>
  </si>
  <si>
    <t>Brug Flamingohoek</t>
  </si>
  <si>
    <t>HOE-02</t>
  </si>
  <si>
    <t>Brug 2 Albatroshoek</t>
  </si>
  <si>
    <t>HOE-03</t>
  </si>
  <si>
    <t>Brug 3 Albatroshoek</t>
  </si>
  <si>
    <t>HOE-04</t>
  </si>
  <si>
    <t>Brug 1 Albatroshoek</t>
  </si>
  <si>
    <t>HOE-05</t>
  </si>
  <si>
    <t>Brug 4 Albatroshoek</t>
  </si>
  <si>
    <t>HOE-11</t>
  </si>
  <si>
    <t>Brug Ganzenhoek</t>
  </si>
  <si>
    <t>HOE-18</t>
  </si>
  <si>
    <t>Brug Braamsluiperhoek</t>
  </si>
  <si>
    <t>HV02</t>
  </si>
  <si>
    <t>Brug Meeldijk</t>
  </si>
  <si>
    <t>MWO-04</t>
  </si>
  <si>
    <t>Brug Emmy Belinfantestraat</t>
  </si>
  <si>
    <t>MWO-05</t>
  </si>
  <si>
    <t>Brug Martina Kramerstraat</t>
  </si>
  <si>
    <t>MWW-07</t>
  </si>
  <si>
    <t>Brug Marga Klompéstraat</t>
  </si>
  <si>
    <t>MWW-08</t>
  </si>
  <si>
    <t>Brug Haya van Someren Downerpad</t>
  </si>
  <si>
    <t>MWW-10</t>
  </si>
  <si>
    <t>Brug Wilhelmina Bladergroenstraat</t>
  </si>
  <si>
    <t>PAB-05</t>
  </si>
  <si>
    <t>Brug Medocgaard</t>
  </si>
  <si>
    <t>PHO-01</t>
  </si>
  <si>
    <t>Brug 3 Frans Halsstraat</t>
  </si>
  <si>
    <t>PHO-03</t>
  </si>
  <si>
    <t>Brug 1 Frans Halsstraat</t>
  </si>
  <si>
    <t>PHO-04</t>
  </si>
  <si>
    <t>Brug 1 Carel Fabritiuspad</t>
  </si>
  <si>
    <t>PHO-05</t>
  </si>
  <si>
    <t>Brug 2 Carel Fabritiuspad</t>
  </si>
  <si>
    <t>PHO-06</t>
  </si>
  <si>
    <t>Brug 2 Jan van Eijckpad</t>
  </si>
  <si>
    <t>PHO-07</t>
  </si>
  <si>
    <t>Brug 1 Jan van Eijckpad</t>
  </si>
  <si>
    <t>PHW-01</t>
  </si>
  <si>
    <t>Brug Borgtweg</t>
  </si>
  <si>
    <t>SCK-01</t>
  </si>
  <si>
    <t>Brug Jan Sluyterspad</t>
  </si>
  <si>
    <t>SCK-02</t>
  </si>
  <si>
    <t>Brug Westersingel</t>
  </si>
  <si>
    <t>STK-04</t>
  </si>
  <si>
    <t>Brug Kometenstraat</t>
  </si>
  <si>
    <t>VB022</t>
  </si>
  <si>
    <t>VB023</t>
  </si>
  <si>
    <t>VOZ-01</t>
  </si>
  <si>
    <t>Brug Duprepad</t>
  </si>
  <si>
    <t>VOZ-02</t>
  </si>
  <si>
    <t>Brug Rousselpad</t>
  </si>
  <si>
    <t>VOZ-03</t>
  </si>
  <si>
    <t>Brug Bonnetpad</t>
  </si>
  <si>
    <t>VOZ-12</t>
  </si>
  <si>
    <t>Brug 2 Westdijk</t>
  </si>
  <si>
    <t>VOZ-13</t>
  </si>
  <si>
    <t>Brug 3 Westdijk</t>
  </si>
  <si>
    <t>VRL-01</t>
  </si>
  <si>
    <t>Brug Pommerolgaard</t>
  </si>
  <si>
    <t>VRL-03</t>
  </si>
  <si>
    <t>Brug Tijmdonk</t>
  </si>
  <si>
    <t>VRL-08</t>
  </si>
  <si>
    <t>Brug Egergaard</t>
  </si>
  <si>
    <t>WAL-07</t>
  </si>
  <si>
    <t>Brug 1 Karperveen</t>
  </si>
  <si>
    <t>WAL-08</t>
  </si>
  <si>
    <t>Brug 2 Karperveen</t>
  </si>
  <si>
    <t>WAL-09</t>
  </si>
  <si>
    <t>Brug Beverveen</t>
  </si>
  <si>
    <t>WAL-14</t>
  </si>
  <si>
    <t>Brug 3 Karperveen</t>
  </si>
  <si>
    <t>WAL-15</t>
  </si>
  <si>
    <t>Brug 4 Karperveen</t>
  </si>
  <si>
    <t>WAL-16</t>
  </si>
  <si>
    <t>Brug Dijkgraaflaan</t>
  </si>
  <si>
    <t>WAL-18</t>
  </si>
  <si>
    <t>Brug 2 Libelleveen</t>
  </si>
  <si>
    <t>WAL-19</t>
  </si>
  <si>
    <t>Brug 2 Krekelveen</t>
  </si>
  <si>
    <t>(van subtotaal A)</t>
  </si>
  <si>
    <t>Object nr.</t>
  </si>
  <si>
    <t>Kolom1</t>
  </si>
  <si>
    <t>Kolom2</t>
  </si>
  <si>
    <t>Totaal tabbladen 'Civieltechnische kunstwerken'</t>
  </si>
  <si>
    <t>TOTAAL WERKZAAMHEDEN</t>
  </si>
  <si>
    <t>Totaal object</t>
  </si>
  <si>
    <t>Omgevings- en watervergunning</t>
  </si>
  <si>
    <t>Aanvragen omgevingsvergunning</t>
  </si>
  <si>
    <t>Verkeersmaatregelen en omleidingen</t>
  </si>
  <si>
    <t>Bereikbaarheid</t>
  </si>
  <si>
    <t>Communicatie</t>
  </si>
  <si>
    <t>2.5.3</t>
  </si>
  <si>
    <t>HOEVEELHEID RESULTAATS- VERPLICHTING</t>
  </si>
  <si>
    <t>PRIJS PER EENHEID IN EURO</t>
  </si>
  <si>
    <t>PARA-GRAAF</t>
  </si>
  <si>
    <t>Opstellen uitvoeringsplan</t>
  </si>
  <si>
    <t>Leveren en aanbrengen landhoofdconstructies</t>
  </si>
  <si>
    <t>Breedte nieuwe brug (dekconstructie)</t>
  </si>
  <si>
    <t>Conserveren stalen onderdelen</t>
  </si>
  <si>
    <t>Leveren en aanbrengen conserveringssystemen op nieuw te leveren stalen hoofddraagconstructie</t>
  </si>
  <si>
    <t>Leveren en aanbrengen taludbekledingen</t>
  </si>
  <si>
    <t>Leveren en aanbrengen grondschermen-/keringen</t>
  </si>
  <si>
    <t>Leveren en aanbrengen slijtlagen</t>
  </si>
  <si>
    <t>Leveren en aanbrengen aansluitende verhardingen</t>
  </si>
  <si>
    <t>Terugbrengen tijdelijk opgeslagen elementenverharding inclusief bijleveren en aanbrengen tekortkomende verhardingselementen, aansluitende verhardingen</t>
  </si>
  <si>
    <t>3.1</t>
  </si>
  <si>
    <t>3.3</t>
  </si>
  <si>
    <t>Leveren en aanbrengen conserveringssystemen op nieuw te leveren leuningen</t>
  </si>
  <si>
    <t>Voorbewerken- en behandelen en conserveringsgereed maken van de ondergronden</t>
  </si>
  <si>
    <t>Opstellen ontwerpen</t>
  </si>
  <si>
    <t>Leveren en aanbrengen beschoeiingconstructies</t>
  </si>
  <si>
    <t>Geluidsmetingen</t>
  </si>
  <si>
    <t>Onderstaand zijn overkoepelende kosten die gelden voor een contractduur van 2 jaar</t>
  </si>
  <si>
    <t>Bijkomende werkzaamheden</t>
  </si>
  <si>
    <t xml:space="preserve">Leveren en aanbrengen stalen hoofddraagconstructie </t>
  </si>
  <si>
    <t>Leveren en aanbrengen paalfunderingen t.b.v. landhoofdconstructies</t>
  </si>
  <si>
    <t>2.4.12</t>
  </si>
  <si>
    <t>2.4.13</t>
  </si>
  <si>
    <t>2.4.15</t>
  </si>
  <si>
    <t>2.4.16</t>
  </si>
  <si>
    <t>2.4.18</t>
  </si>
  <si>
    <t>2.4.19</t>
  </si>
  <si>
    <t>2.4.20</t>
  </si>
  <si>
    <t>2.4.27</t>
  </si>
  <si>
    <t>2.4.28</t>
  </si>
  <si>
    <t>2.4.32</t>
  </si>
  <si>
    <t>3.4</t>
  </si>
  <si>
    <t>3.5</t>
  </si>
  <si>
    <t>3.6</t>
  </si>
  <si>
    <t>3.7</t>
  </si>
  <si>
    <t>3.8</t>
  </si>
  <si>
    <t>3.9</t>
  </si>
  <si>
    <t>3.10</t>
  </si>
  <si>
    <t>Kolom3</t>
  </si>
  <si>
    <t>Kolom4</t>
  </si>
  <si>
    <t>Subtotaal 1</t>
  </si>
  <si>
    <t>Subtotaal 2</t>
  </si>
  <si>
    <t>Verwijderen en afvoeren beschoeiingsconstructie</t>
  </si>
  <si>
    <t>Verwijderen en afvoeren asfaltverharding</t>
  </si>
  <si>
    <t>Uitspoeling rondom HWA-afvoer verhelpen</t>
  </si>
  <si>
    <t>Duurzaam verstevigen beplanking rondom HWA-afvoer</t>
  </si>
  <si>
    <t>Demonteren, tijdelijk opslaan en monteren peilschaal op nieuw te leveren en aan te brengen paal</t>
  </si>
  <si>
    <t>Verwijderen, tijdelijk opslaan en herplaatsen hekwerken naast brug</t>
  </si>
  <si>
    <t>st</t>
  </si>
  <si>
    <t xml:space="preserve">Verwijderen en afvoeren trapelementen </t>
  </si>
  <si>
    <t>Leveren en aanbrengen asfaltverharding</t>
  </si>
  <si>
    <t>Leveren en aanbrengen dichte stalen paal achter beschoeiing, minimaal 2,5 m, rond 150mm en voorzien van duplex-systeem (kleurstelling gelijk aan nieuwe brug)</t>
  </si>
  <si>
    <t>Bestaande peilbuis monteren aan nieuwe paal incl. benodigde aanpassingen aan bestaande bevestigingsconstructie</t>
  </si>
  <si>
    <t>Grond aanvullen ter plaatse van beschoeiing</t>
  </si>
  <si>
    <t>Verplaatsen en op hoogte stellen straatkolk i.r.t. nieuwe situatie</t>
  </si>
  <si>
    <t>Bestaande lage stalen hekwerken aanpassen aan nieuwe situatie, incl. afdopping</t>
  </si>
  <si>
    <t>Op hoogte stellen straatkolk i.r.t. nieuwe situatie</t>
  </si>
  <si>
    <t>Leveren en aanbrengen veeroosterconstructie, incl. rolstoelvoorziening</t>
  </si>
  <si>
    <t>Bestaande houten hekwerken tpv veerooster aanpassen aan nieuwe situatie</t>
  </si>
  <si>
    <t>m</t>
  </si>
  <si>
    <t>Uitvoeren trillingsanalyse, incl. rapportage</t>
  </si>
  <si>
    <t>Verwijderen, opvangen en afvoeren van (rest)materialen</t>
  </si>
  <si>
    <t>Verwijderen en afvoeren fiets-/voetgangersbrug</t>
  </si>
  <si>
    <t>Opnemen en vastleggen 0-situatie werkterrein</t>
  </si>
  <si>
    <t>Opstellen en leveren opleverdossier</t>
  </si>
  <si>
    <t>Afwerken bermen en taluds</t>
  </si>
  <si>
    <t>Aanvragen watervergunning/melding Waterwet</t>
  </si>
  <si>
    <t>Uitvoeren geluidsmetingen, voor en na aanbrengen fiets-/voetgangersbrug</t>
  </si>
  <si>
    <t>Uitvoeren van ontwerpwerkzaamheden (berekeningen en tekeningen) fiets-/voetgangersbrug</t>
  </si>
  <si>
    <t>Verwijderen en tijdelijk opslaan aansluitende elementenverharding, (incl. conflicterend wegmeubilair)</t>
  </si>
  <si>
    <t>Verwijderen en tijdelijk opslaan aansluitende elementenverharding, (incl. conflicterende wegmeubilair)</t>
  </si>
  <si>
    <t xml:space="preserve">Verwijderen en tijdelijk opslaan aansluitende elementenverharding, (incl. conflicterende wegmeubilair) </t>
  </si>
  <si>
    <t>Verwijderen en afvoeren asfaltverharding, (incl. conflicterende wegmeubilair)</t>
  </si>
  <si>
    <t>Leveren en aanbrengen elementenverhardingselementen, incl. fundatie</t>
  </si>
  <si>
    <t>Verwijderen en afvoeren fiets-voetgangersbrug, incl. tussensteunpunten</t>
  </si>
  <si>
    <t>Leveren en aanbrengen landhoofdconstructies, incl. oplegging tbv trap</t>
  </si>
  <si>
    <t>Leveren en aanbrengen prefab betontrap (trap bestaande uit 1 constructie-element)</t>
  </si>
  <si>
    <t>Leveren en aanbrengen stootplaatconstructie (één zijde)</t>
  </si>
  <si>
    <t>Leveren en aanbrengen verkorte stootplaatconstructies</t>
  </si>
  <si>
    <t>Leveren en aanbrengen beschoeiingconstructies (één zijde)</t>
  </si>
  <si>
    <t>(huidig 1,80)</t>
  </si>
  <si>
    <t>(huidig 14,60)</t>
  </si>
  <si>
    <t>(huidig 13,35)</t>
  </si>
  <si>
    <t>(huidig 2,10)</t>
  </si>
  <si>
    <t>(huidig 9,50)</t>
  </si>
  <si>
    <t>(huidig 9,75)</t>
  </si>
  <si>
    <t>(huidig 8,65)</t>
  </si>
  <si>
    <t>(huidig 8,00)</t>
  </si>
  <si>
    <t>(huidig 2,60)</t>
  </si>
  <si>
    <t>(huidig 17,00)</t>
  </si>
  <si>
    <t>(huidig 4,10)</t>
  </si>
  <si>
    <t>(huidig 14,40)</t>
  </si>
  <si>
    <t>(huidig 3,55)</t>
  </si>
  <si>
    <t>(huidig 12,35)</t>
  </si>
  <si>
    <t>(huidig 2,50)</t>
  </si>
  <si>
    <t>(huidig 13,50)</t>
  </si>
  <si>
    <t>(huidig 13,30)</t>
  </si>
  <si>
    <t>(huidig 18,00)</t>
  </si>
  <si>
    <t>(huidig 3,45)</t>
  </si>
  <si>
    <t>(huidig 24,20)</t>
  </si>
  <si>
    <t>(huidig 3,00)</t>
  </si>
  <si>
    <t>(huidig 13,75)</t>
  </si>
  <si>
    <t>(huidig 3,10)</t>
  </si>
  <si>
    <t>(huidig 14,50)</t>
  </si>
  <si>
    <t>(huidig 1,70)</t>
  </si>
  <si>
    <t>(huidig 18,30)</t>
  </si>
  <si>
    <t>(huidig 14,30)</t>
  </si>
  <si>
    <t>(huidig 8,40)</t>
  </si>
  <si>
    <t>(huidig 2,65)</t>
  </si>
  <si>
    <t>(huidig 7,15)</t>
  </si>
  <si>
    <t>(huidig 3,40)</t>
  </si>
  <si>
    <t>(huidig 6,00)</t>
  </si>
  <si>
    <t>(huidig 18,40)</t>
  </si>
  <si>
    <t>(huidig 2,80)</t>
  </si>
  <si>
    <t>(huidig 18,10)</t>
  </si>
  <si>
    <t>(huidig 18,50)</t>
  </si>
  <si>
    <t>(huidig 18,20)</t>
  </si>
  <si>
    <t>(huidig 1,90)</t>
  </si>
  <si>
    <t>(huidig 3,90)</t>
  </si>
  <si>
    <t>Verwijderen en afvoeren fiets-voetgangersbrug (incl. hoge beschoeiing rondom brug)</t>
  </si>
  <si>
    <t>Verwijderen en afvoeren fiets-voetgangersbrug (incl. grondkering, één zijde)</t>
  </si>
  <si>
    <t>(huidig 6,60)</t>
  </si>
  <si>
    <t>Verwijderen en afvoeren fiets-voetgangersbrug (incl. damwand, één zijde)</t>
  </si>
  <si>
    <t>Afwerken en inzaaien taluds/bermen, inclusief benodigde grondaanvulling</t>
  </si>
  <si>
    <t>Verwijderen en afvoeren fiets-voetgangersbrug (incl. veerooster met bijbehorende hekwerken)</t>
  </si>
  <si>
    <t>Verwijderen en afvoeren fiets-voetgangersbrug (incl. sluishekken)</t>
  </si>
  <si>
    <t>Verwijderen en afvoeren fiets-voetgangersbrug (incl. damwand en koppensnellen)</t>
  </si>
  <si>
    <t>(huidig 6,50)</t>
  </si>
  <si>
    <t>(huidig 3,50)</t>
  </si>
  <si>
    <t>(huidig 19,10)</t>
  </si>
  <si>
    <t>(huidig 12,90)</t>
  </si>
  <si>
    <t>Breedte brug (dekconstructie)</t>
  </si>
  <si>
    <t>(huidig 2,00)</t>
  </si>
  <si>
    <t>(huidig 16,60)</t>
  </si>
  <si>
    <t>(huidig 1,30)</t>
  </si>
  <si>
    <t>(huidig 11,00)</t>
  </si>
  <si>
    <t>(huidig 1,85)</t>
  </si>
  <si>
    <t>(huidig 6,40)</t>
  </si>
  <si>
    <t>(huidig 2,20)</t>
  </si>
  <si>
    <t>(huidig 9,10)</t>
  </si>
  <si>
    <t>(huidig 2,90)</t>
  </si>
  <si>
    <t>(huidig 16,35)</t>
  </si>
  <si>
    <t>(huidig 18.30)</t>
  </si>
  <si>
    <t>(huidig 12,30)</t>
  </si>
  <si>
    <t>(huidig 2,40)</t>
  </si>
  <si>
    <t>(huidig 2,55)</t>
  </si>
  <si>
    <t>(huidig 20,90)</t>
  </si>
  <si>
    <t>Verwijderen, opslaan en herplaatsen kunststof diamantkoppalen</t>
  </si>
  <si>
    <t>Vervangen rood/wit verkeerspaal</t>
  </si>
  <si>
    <t>Lengte nieuwe brug (dekconstructie)</t>
  </si>
  <si>
    <t>Verwijderen en afvoeren fiets-voetgangersbrug (incl. damwandconstructie)</t>
  </si>
  <si>
    <t xml:space="preserve">Verwijderen en tijdelijk opslaan aansluitende elementenverharding, (incl. conflicterende wegmeubilair en schuine opritbanden) </t>
  </si>
  <si>
    <t>Leveren en aanbrengen beschoeiingconstructies (zwaardere uitvoering)</t>
  </si>
  <si>
    <t>Inkorten (+/- 30 cm) van hekwerk</t>
  </si>
  <si>
    <t>Inkorten hoge beschoeiing (+/- 60 cm) tot eerste paal naast HWA-afvoer</t>
  </si>
  <si>
    <t>Leveren en aanbrengen sluishekken</t>
  </si>
  <si>
    <t>Leveren en aanbrengen opsluitbanden afm. 10x20cm (bovenzijde dijk, pad naar beneden)</t>
  </si>
  <si>
    <t>Verwijderen en afvoeren opsluitbanden (bovenzijde dijk, pad naar beneden)</t>
  </si>
  <si>
    <t>Verwijderen, tijdelijk opslaan en herplaatsen drijfbalk</t>
  </si>
  <si>
    <t>Verwijderen en afvoeren hekwerken</t>
  </si>
  <si>
    <t>Vervangen bestaande sluishekken voor kleinere sluishekken</t>
  </si>
  <si>
    <t xml:space="preserve">Verwijderen en tijdelijk opslaan aansluitende elementenverharding, (incl. conflicterende wegmeubilair en bewegwijzering) </t>
  </si>
  <si>
    <t>Leveren en aanbrengen afgeschuind houten bewegwijzeringspaaltje</t>
  </si>
  <si>
    <r>
      <t>Vervangen bestaande sluishekken</t>
    </r>
    <r>
      <rPr>
        <sz val="10"/>
        <color rgb="FFFF0000"/>
        <rFont val="Arial"/>
        <family val="2"/>
      </rPr>
      <t/>
    </r>
  </si>
  <si>
    <t>Leveren en aanbrengen rood/wit verkeerspaal</t>
  </si>
  <si>
    <t>Terugbrengen tijdelijk opgeslagen elementenverharding inclusief bijleveren en aanbrengen tekortkomende verhardingselementen, aansluitende verhardingen (incl. wegmeubilair en schuine opritbanden)</t>
  </si>
  <si>
    <t>Verwijderen conflicterende begroeiing</t>
  </si>
  <si>
    <t>Leveren en aanbrengen rood/wit schrikhek met dubbele beplanking tussen perceel bewoner en brug lengte planken 1m</t>
  </si>
  <si>
    <t>Verwijderen, tijdelijk opslaan en terugplaatsen hekwerk vee afrastering (perkoenpalen met gaas)</t>
  </si>
  <si>
    <t>Verwijderen en afvoeren asfaltverharding, incl. fundatie</t>
  </si>
  <si>
    <t>Verwijderen en afvoeren halfverharding, incl. bochtstraal in vloeiende lijn afwerken (conform huidige situatie)</t>
  </si>
  <si>
    <t>Leveren en aanbrengen van wegmarkering breedte ±10cm</t>
  </si>
  <si>
    <t>Brugleuning haaksom (+/- 60 cm) voorzien van duurzame reflecterende veiligheidsstickers</t>
  </si>
  <si>
    <t>Verwijderen en tijdelijk opslaan aansluitende halfverharding, (incl. conflicterende wegmeubilair)</t>
  </si>
  <si>
    <t>Terugbrengen tijdelijk opgeslagen elementenverharding inclusief bijleveren en aanbrengen tekortkomende verhardingselementen, aansluitende verhardingen (incl. wegmeubilair)</t>
  </si>
  <si>
    <t>Terugbrengen tijdelijk opgeslagen elementen-/halfverharding inclusief bijleveren en aanbrengen tekortkomende verhardingselementen, aansluitende verhardingen (incl. wegmeubilair)</t>
  </si>
  <si>
    <t>Leveren en aanbrengen elementenverhardingselementen, incl. fundatie (incl. wegmeubilair)</t>
  </si>
  <si>
    <t>Terugbrengen tijdelijk opgeslagen halfverharding inclusief bijleveren en aanbrengen tekortkomende verharding, aansluitende verhardingen (incl. wegmeubilair)</t>
  </si>
  <si>
    <t>Terugbrengen tijdelijk opgeslagen halfverharding inclusief bijleveren en aanbrengen te kortkomende verharding, betreft aansluitende verhardingen (incl. wegmeubilair)</t>
  </si>
  <si>
    <t>Verwijderen en tijdelijk opslaan aansluitende elementenverharding (incl. conflicterende wegmeubilair)</t>
  </si>
  <si>
    <t>Terugbrengen tijdelijk opgeslagen elementenverharding inclusief bijleveren en aanbrengen tekortkomende verhardingselementen, aansluitende verhardingen (incl. wegmeubilair en bewegwijzering)</t>
  </si>
  <si>
    <t>Terugbrengen tijdelijk opgeslagen elementenverharding inclusief bijleveren en aanbrengen tekortkomende verhardingselementen, aansluitende verhardingen (rekening houden met aanpassing rolstoeloprit) (incl. wegmeubilair)</t>
  </si>
  <si>
    <t>Verwijderen en tijdelijk opslaan aansluitende elementen-/halfverharding (incl. conflicterende wegmeubilair)</t>
  </si>
  <si>
    <t>Verwijderen en tijdelijk opslaan halfverharding, (incl. conflicterende wegmeubilair)</t>
  </si>
  <si>
    <t>nvt</t>
  </si>
  <si>
    <t>Verwijderen en tijdelijk opslaan aansluitende halfverharding</t>
  </si>
  <si>
    <t>Leveren en aanbrengen rood/wit schrikhek met dubbele beplanking tussen perceel bewoner en brug, lengte planken ca. 1m</t>
  </si>
  <si>
    <t>Leveren en aanbrengen rood/wit schrikhek met dubbele beplanking tussen perceel bewoner en brug, lengte planken ca. 0,5m</t>
  </si>
  <si>
    <t>HV03</t>
  </si>
  <si>
    <t>Brug Heenvliet</t>
  </si>
  <si>
    <t>2.4.1</t>
  </si>
  <si>
    <t>2.4.2</t>
  </si>
  <si>
    <t>2.4.3</t>
  </si>
  <si>
    <t>2.4.5</t>
  </si>
  <si>
    <t>2.4.6</t>
  </si>
  <si>
    <t>2.4.7</t>
  </si>
  <si>
    <t>2.4.8</t>
  </si>
  <si>
    <t>2.4.9</t>
  </si>
  <si>
    <t>2.4.10</t>
  </si>
  <si>
    <t>2.4.11</t>
  </si>
  <si>
    <t>2.4.14</t>
  </si>
  <si>
    <t>2.4.17</t>
  </si>
  <si>
    <t>Algemeen</t>
  </si>
  <si>
    <t>Bepalingen</t>
  </si>
  <si>
    <t>Wijzigingen in kosten</t>
  </si>
  <si>
    <t>Social Return</t>
  </si>
  <si>
    <t>Betalingsregeling werkzaamheden</t>
  </si>
  <si>
    <t>Zekerheidstelling</t>
  </si>
  <si>
    <t>Tijdschema, ProjectKwaliteitsPlan, werkplan, hijs- en (de)montageplan en keuringsplan</t>
  </si>
  <si>
    <t>Eisen met betrekking tot producten</t>
  </si>
  <si>
    <t>Eisen ten aanzien van in te zetten materieel</t>
  </si>
  <si>
    <t>Vergunningen parkeren en plaatsen keten, containers e.d.</t>
  </si>
  <si>
    <t>Bouwkundige vooropnamen</t>
  </si>
  <si>
    <t>Geluidshinder</t>
  </si>
  <si>
    <t>Werktijden</t>
  </si>
  <si>
    <t>2.4.21</t>
  </si>
  <si>
    <t>2.4.22</t>
  </si>
  <si>
    <t>2.4.23</t>
  </si>
  <si>
    <t>Leveren onderdelen staal en aluminium</t>
  </si>
  <si>
    <t>2.4.24</t>
  </si>
  <si>
    <t>Vervaardigen onderdelen staal en aluminium</t>
  </si>
  <si>
    <t>2.4.25</t>
  </si>
  <si>
    <t>Boombescherming</t>
  </si>
  <si>
    <t>2.4.26</t>
  </si>
  <si>
    <t>Flora en fauna</t>
  </si>
  <si>
    <t>Sonderingen</t>
  </si>
  <si>
    <t>Kabels en leidingen</t>
  </si>
  <si>
    <t>2.4.29</t>
  </si>
  <si>
    <t>Inrichten werkterrein(nen)</t>
  </si>
  <si>
    <t>2.4.30</t>
  </si>
  <si>
    <t>Opruimen werkterrein(nen)</t>
  </si>
  <si>
    <t>2.4.31</t>
  </si>
  <si>
    <t>Schade en/of aantasting van eigendommen</t>
  </si>
  <si>
    <t>Werken die in elkaar grijpen</t>
  </si>
  <si>
    <t>2.4.33</t>
  </si>
  <si>
    <t>2.4.34</t>
  </si>
  <si>
    <t>Klachten, schades en/of calamiteiten</t>
  </si>
  <si>
    <t>2.4.35</t>
  </si>
  <si>
    <t>Garantie</t>
  </si>
  <si>
    <t>2.5</t>
  </si>
  <si>
    <t>2.5.1</t>
  </si>
  <si>
    <t>2.5.2</t>
  </si>
  <si>
    <t>Veiligheidszorgcertificaat</t>
  </si>
  <si>
    <t>2.6</t>
  </si>
  <si>
    <t>2.7</t>
  </si>
  <si>
    <t>2.7.1</t>
  </si>
  <si>
    <t>Verrekening extra inzet</t>
  </si>
  <si>
    <t>1.</t>
  </si>
  <si>
    <t>Inleiding</t>
  </si>
  <si>
    <t>1.1</t>
  </si>
  <si>
    <t>1.2</t>
  </si>
  <si>
    <t>Opzet en doel van de vraagspecificatie</t>
  </si>
  <si>
    <t>1.3</t>
  </si>
  <si>
    <t>Algemene gegevens</t>
  </si>
  <si>
    <t>1.4</t>
  </si>
  <si>
    <t>Werkzaamheden</t>
  </si>
  <si>
    <t>1.5</t>
  </si>
  <si>
    <t>Hoeveelheden</t>
  </si>
  <si>
    <t>1.6</t>
  </si>
  <si>
    <t>Administratieve verplichtingen en leveringen</t>
  </si>
  <si>
    <t>1.7</t>
  </si>
  <si>
    <t>Bouwstoffen en materialen</t>
  </si>
  <si>
    <t>1.8</t>
  </si>
  <si>
    <t>Gelijkwaardige producten/fabricaten</t>
  </si>
  <si>
    <t>2.</t>
  </si>
  <si>
    <t>Algemeen geldende eisen</t>
  </si>
  <si>
    <t>2.1</t>
  </si>
  <si>
    <t>Algemene eisen</t>
  </si>
  <si>
    <t>2.2</t>
  </si>
  <si>
    <t>Functionele eisen</t>
  </si>
  <si>
    <t>2.3</t>
  </si>
  <si>
    <t>Technische eisen</t>
  </si>
  <si>
    <t>2.4</t>
  </si>
  <si>
    <t>Uitvoeringseisen en administratieve bepalingen</t>
  </si>
  <si>
    <t>Veiligheids-, gezondheids- en milieu-eisen</t>
  </si>
  <si>
    <t>Veiligheids-,  Gezondheids- en Milieuplan (VGM-plan)</t>
  </si>
  <si>
    <t>Onderhoudseisen algemeen</t>
  </si>
  <si>
    <t>Extra inzet directievoering en toezicht voor rekening opdrachtnemer</t>
  </si>
  <si>
    <t>3.</t>
  </si>
  <si>
    <t>Werkzaamheden vervangen bruggen</t>
  </si>
  <si>
    <t>3.1.1</t>
  </si>
  <si>
    <t>3.1.2</t>
  </si>
  <si>
    <t>3.1.3</t>
  </si>
  <si>
    <t>3.1.4</t>
  </si>
  <si>
    <t>Uitvoeringseisen</t>
  </si>
  <si>
    <t>3.2</t>
  </si>
  <si>
    <t>Opstellen slijtlaag- en conserveringsadviezen</t>
  </si>
  <si>
    <t>3.2.1</t>
  </si>
  <si>
    <t>3.2.2</t>
  </si>
  <si>
    <t>3.2.3</t>
  </si>
  <si>
    <t>3.2.4</t>
  </si>
  <si>
    <t>Verwijderen en afvoeren bestaande constructies</t>
  </si>
  <si>
    <t>3.3.1</t>
  </si>
  <si>
    <t>3.3.2</t>
  </si>
  <si>
    <t>3.3.3</t>
  </si>
  <si>
    <t>3.3.4</t>
  </si>
  <si>
    <t>3.3.5</t>
  </si>
  <si>
    <t>Veiligheid, Gezondheid en Milieu</t>
  </si>
  <si>
    <t>3.4.1</t>
  </si>
  <si>
    <t>3.4.2</t>
  </si>
  <si>
    <t>3.4.3</t>
  </si>
  <si>
    <t>3.4.4</t>
  </si>
  <si>
    <t>3.5.1</t>
  </si>
  <si>
    <t>3.5.2</t>
  </si>
  <si>
    <t>3.5.3</t>
  </si>
  <si>
    <t>3.5.4</t>
  </si>
  <si>
    <t>Leveren en aanbrengen nieuwe fiets-/voetgangersbrug</t>
  </si>
  <si>
    <t>3.6.1</t>
  </si>
  <si>
    <t>3.6.2</t>
  </si>
  <si>
    <t>3.6.3</t>
  </si>
  <si>
    <t>3.6.4</t>
  </si>
  <si>
    <t>3.7.1</t>
  </si>
  <si>
    <t>3.7.2</t>
  </si>
  <si>
    <t>3.7.3</t>
  </si>
  <si>
    <t>3.7.4</t>
  </si>
  <si>
    <t>3.8.1</t>
  </si>
  <si>
    <t>3.8.2</t>
  </si>
  <si>
    <t>3.8.3</t>
  </si>
  <si>
    <t>3.8.4</t>
  </si>
  <si>
    <t>3.9.1</t>
  </si>
  <si>
    <t>Leveren en aanbrengen rood/wit reflecterende veiligheidsstickers</t>
  </si>
  <si>
    <t>3.9.2</t>
  </si>
  <si>
    <t>De-/monteren aanpassen, leveren en aanbrengen diverse onderdelen</t>
  </si>
  <si>
    <t>3.9.3</t>
  </si>
  <si>
    <t>Herplaatsen/vervangen/leveren en aanbrengen van duofens sluishekken</t>
  </si>
  <si>
    <t>3.9.4</t>
  </si>
  <si>
    <t>Herplaatsen/vervangen/leveren en aanbrengen van verkeerspalen</t>
  </si>
  <si>
    <t>3.9.5</t>
  </si>
  <si>
    <t>Herplaatsen/aanpassen hekwerken</t>
  </si>
  <si>
    <t>3.9.6</t>
  </si>
  <si>
    <t>Verplaatsen, opnieuw stellen straatkolk beton/kunststof/gietijzer</t>
  </si>
  <si>
    <t>3.9.7</t>
  </si>
  <si>
    <t>Leveren en aanbrengen schrikhekken</t>
  </si>
  <si>
    <t>Opstellen As-built dossier</t>
  </si>
  <si>
    <t>3.10.1</t>
  </si>
  <si>
    <t>3.10.2</t>
  </si>
  <si>
    <t>3.10.3</t>
  </si>
  <si>
    <t>3.10.4</t>
  </si>
  <si>
    <t>4.</t>
  </si>
  <si>
    <t>Stelpost</t>
  </si>
  <si>
    <t>4.1</t>
  </si>
  <si>
    <t>Uitgaven stelpost</t>
  </si>
  <si>
    <t>5.</t>
  </si>
  <si>
    <t>Overzicht bijlagen</t>
  </si>
  <si>
    <t>Uitvoeren Quick-scan</t>
  </si>
  <si>
    <t>KLIC-meldingen</t>
  </si>
  <si>
    <t>(indienen aanvragen, overleggen initiëren, coördineren en uitvoeren)</t>
  </si>
  <si>
    <t>Leveren en aanbrengen sluishekken (montage op de brug aan hoofddraagconstructie, vormgeving afgestemd op nieuw leuningwerk)</t>
  </si>
  <si>
    <t>Totaalprijs voor 150 stuks opnamen</t>
  </si>
  <si>
    <t>Toepassen Verwijderen, opvangen en afvoeren van (rest)materialen</t>
  </si>
  <si>
    <t>Contractperiode, deelopdracht en omzetgarantie</t>
  </si>
  <si>
    <t>Tijdsbepaling/oplevering</t>
  </si>
  <si>
    <t>Onderhoudstermijn</t>
  </si>
  <si>
    <t>Directie</t>
  </si>
  <si>
    <t>1.9</t>
  </si>
  <si>
    <t>1.10</t>
  </si>
  <si>
    <t>1.11</t>
  </si>
  <si>
    <t>1.12</t>
  </si>
  <si>
    <t>1.13</t>
  </si>
  <si>
    <t>Intellectueel eigendom</t>
  </si>
  <si>
    <t>Eisen met betrekking tot houtleveranties</t>
  </si>
  <si>
    <t>2.4.36</t>
  </si>
  <si>
    <t>3.9.8</t>
  </si>
  <si>
    <t>PAG. VS</t>
  </si>
  <si>
    <t>BLAD VERBERGEN BIJ PUBLICEREN DEFINITIEF BESTEK</t>
  </si>
  <si>
    <t>3.9.6.4</t>
  </si>
  <si>
    <t>3.9.2.2</t>
  </si>
  <si>
    <t>3.9.6.1</t>
  </si>
  <si>
    <t>3.9.2.3</t>
  </si>
  <si>
    <t>3.9.6.2</t>
  </si>
  <si>
    <t>3.9.2.4</t>
  </si>
  <si>
    <t>3.9.2.1</t>
  </si>
  <si>
    <t>3.9.6.3</t>
  </si>
  <si>
    <t>3.9.6.5</t>
  </si>
  <si>
    <t>Objectnaam</t>
  </si>
  <si>
    <t> </t>
  </si>
  <si>
    <t>Leveren en aanbrengen houten dekbeplanking 45x140mm inclusief houten ribben</t>
  </si>
  <si>
    <t>Leveren en aanbrengen van gripstrips en wegmarkeringen</t>
  </si>
  <si>
    <t>Opstellen gripstrip- en conserveringsadviezen</t>
  </si>
  <si>
    <t>Leveren en aanbrengen gripstrips op hardhouten dekplanken</t>
  </si>
  <si>
    <t>Leveren en aanbrengen gripstrips op hardhouten dekplanken (4 suks per plank)</t>
  </si>
  <si>
    <t>Leveren en aanbrengen houten dekbeplanking 75x140mm inclusief houten ribben</t>
  </si>
  <si>
    <t>Leveren en aanbrengen houten dekbeplanking 75x140mm (2 gripstrips) inclusief houten ribben</t>
  </si>
  <si>
    <t>Leveren en aanbrengen houten dekbeplanking 75x140mm (4 gripstrips) inclusief houten ribben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</si>
</sst>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&quot;€&quot;\ #,##0.00_-"/>
    <numFmt numFmtId="166" formatCode="_ [$€-413]\ * #,##0.00_ ;_ [$€-413]\ * \-#,##0.00_ ;_ [$€-413]\ * &quot;-&quot;??_ ;_ @_ "/>
    <numFmt numFmtId="167" formatCode="0;\-0;;@"/>
  </numFmts>
  <fonts count="3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CG Times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10"/>
      <name val="CG Times"/>
    </font>
    <font>
      <b/>
      <sz val="10"/>
      <color theme="1"/>
      <name val="Arial"/>
      <family val="2"/>
    </font>
    <font>
      <sz val="10"/>
      <name val="Univer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0"/>
      <color rgb="FF3CB6CE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CB6CE"/>
        <bgColor indexed="64"/>
      </patternFill>
    </fill>
    <fill>
      <patternFill patternType="solid">
        <fgColor rgb="FF3CB6CE"/>
        <bgColor rgb="FF000000"/>
      </patternFill>
    </fill>
    <fill>
      <patternFill patternType="solid">
        <fgColor rgb="FFFFCC99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double">
        <color theme="1"/>
      </bottom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theme="1"/>
      </top>
      <bottom style="medium">
        <color indexed="64"/>
      </bottom>
      <diagonal/>
    </border>
    <border>
      <left/>
      <right/>
      <top style="double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theme="1"/>
      </top>
      <bottom style="medium">
        <color indexed="64"/>
      </bottom>
      <diagonal/>
    </border>
    <border>
      <left style="medium">
        <color indexed="64"/>
      </left>
      <right/>
      <top style="double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9">
    <xf numFmtId="0" fontId="0" fillId="0" borderId="0"/>
    <xf numFmtId="0" fontId="4" fillId="0" borderId="0" applyFont="0"/>
    <xf numFmtId="0" fontId="1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  <xf numFmtId="0" fontId="24" fillId="4" borderId="50" applyNumberFormat="0" applyAlignment="0" applyProtection="0"/>
    <xf numFmtId="167" fontId="8" fillId="0" borderId="16" applyFont="0" applyAlignment="0">
      <alignment horizontal="left" vertical="center"/>
      <protection hidden="1"/>
    </xf>
  </cellStyleXfs>
  <cellXfs count="295">
    <xf numFmtId="0" fontId="0" fillId="0" borderId="0" xfId="0"/>
    <xf numFmtId="0" fontId="7" fillId="0" borderId="16" xfId="0" applyFont="1" applyFill="1" applyBorder="1" applyAlignment="1" applyProtection="1">
      <alignment vertical="top"/>
      <protection hidden="1"/>
    </xf>
    <xf numFmtId="0" fontId="7" fillId="0" borderId="16" xfId="0" applyFont="1" applyFill="1" applyBorder="1" applyAlignment="1" applyProtection="1">
      <alignment horizontal="center" vertical="top"/>
      <protection hidden="1"/>
    </xf>
    <xf numFmtId="0" fontId="1" fillId="0" borderId="28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0" fontId="18" fillId="2" borderId="32" xfId="0" applyFont="1" applyFill="1" applyBorder="1" applyAlignment="1" applyProtection="1">
      <alignment vertical="center" wrapText="1"/>
      <protection hidden="1"/>
    </xf>
    <xf numFmtId="0" fontId="8" fillId="0" borderId="28" xfId="0" applyFont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35" xfId="0" applyFont="1" applyBorder="1" applyAlignment="1" applyProtection="1">
      <alignment vertical="center" wrapText="1"/>
      <protection hidden="1"/>
    </xf>
    <xf numFmtId="0" fontId="14" fillId="2" borderId="49" xfId="0" applyFont="1" applyFill="1" applyBorder="1" applyProtection="1">
      <protection hidden="1"/>
    </xf>
    <xf numFmtId="0" fontId="14" fillId="2" borderId="29" xfId="0" applyFont="1" applyFill="1" applyBorder="1" applyProtection="1">
      <protection hidden="1"/>
    </xf>
    <xf numFmtId="0" fontId="11" fillId="0" borderId="16" xfId="0" applyFont="1" applyFill="1" applyBorder="1" applyAlignment="1" applyProtection="1">
      <alignment horizontal="left" vertical="center" wrapText="1"/>
      <protection hidden="1"/>
    </xf>
    <xf numFmtId="0" fontId="11" fillId="0" borderId="16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16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16" xfId="0" applyFont="1" applyBorder="1" applyAlignment="1" applyProtection="1">
      <alignment horizontal="left" vertical="top" wrapText="1"/>
      <protection hidden="1"/>
    </xf>
    <xf numFmtId="0" fontId="11" fillId="0" borderId="16" xfId="6" applyNumberFormat="1" applyFont="1" applyBorder="1" applyAlignment="1" applyProtection="1">
      <alignment horizontal="left" vertical="center" wrapText="1"/>
      <protection hidden="1"/>
    </xf>
    <xf numFmtId="0" fontId="19" fillId="0" borderId="16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24" fillId="4" borderId="50" xfId="7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vertical="top"/>
      <protection hidden="1"/>
    </xf>
    <xf numFmtId="0" fontId="2" fillId="2" borderId="3" xfId="0" applyFont="1" applyFill="1" applyBorder="1" applyAlignment="1" applyProtection="1">
      <alignment vertical="top"/>
      <protection hidden="1"/>
    </xf>
    <xf numFmtId="0" fontId="3" fillId="2" borderId="3" xfId="0" applyFont="1" applyFill="1" applyBorder="1" applyAlignment="1" applyProtection="1">
      <protection hidden="1"/>
    </xf>
    <xf numFmtId="44" fontId="3" fillId="2" borderId="3" xfId="3" applyNumberFormat="1" applyFont="1" applyFill="1" applyBorder="1" applyAlignment="1" applyProtection="1">
      <protection hidden="1"/>
    </xf>
    <xf numFmtId="44" fontId="3" fillId="2" borderId="4" xfId="3" applyNumberFormat="1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4" fillId="0" borderId="0" xfId="0" applyFont="1" applyFill="1" applyBorder="1" applyAlignment="1" applyProtection="1">
      <alignment horizontal="right" vertical="top"/>
      <protection hidden="1"/>
    </xf>
    <xf numFmtId="2" fontId="4" fillId="0" borderId="6" xfId="0" applyNumberFormat="1" applyFont="1" applyBorder="1" applyAlignment="1" applyProtection="1">
      <alignment horizontal="left" vertical="top"/>
      <protection hidden="1"/>
    </xf>
    <xf numFmtId="2" fontId="4" fillId="0" borderId="6" xfId="0" applyNumberFormat="1" applyFont="1" applyBorder="1" applyAlignment="1" applyProtection="1">
      <alignment vertical="top"/>
      <protection hidden="1"/>
    </xf>
    <xf numFmtId="44" fontId="4" fillId="0" borderId="0" xfId="3" applyNumberFormat="1" applyFont="1" applyFill="1" applyBorder="1" applyAlignment="1" applyProtection="1">
      <alignment vertical="top"/>
      <protection hidden="1"/>
    </xf>
    <xf numFmtId="44" fontId="3" fillId="0" borderId="0" xfId="3" applyNumberFormat="1" applyFont="1" applyFill="1" applyBorder="1" applyAlignment="1" applyProtection="1">
      <protection hidden="1"/>
    </xf>
    <xf numFmtId="0" fontId="4" fillId="0" borderId="1" xfId="0" applyFont="1" applyFill="1" applyBorder="1" applyAlignment="1" applyProtection="1">
      <alignment vertical="top"/>
      <protection hidden="1"/>
    </xf>
    <xf numFmtId="44" fontId="3" fillId="0" borderId="1" xfId="3" applyNumberFormat="1" applyFont="1" applyFill="1" applyBorder="1" applyAlignment="1" applyProtection="1">
      <protection hidden="1"/>
    </xf>
    <xf numFmtId="49" fontId="6" fillId="2" borderId="19" xfId="0" applyNumberFormat="1" applyFont="1" applyFill="1" applyBorder="1" applyAlignment="1" applyProtection="1">
      <alignment horizontal="left" vertical="top" wrapText="1"/>
      <protection hidden="1"/>
    </xf>
    <xf numFmtId="49" fontId="6" fillId="2" borderId="20" xfId="0" applyNumberFormat="1" applyFont="1" applyFill="1" applyBorder="1" applyAlignment="1" applyProtection="1">
      <alignment horizontal="left" vertical="top" wrapText="1"/>
      <protection hidden="1"/>
    </xf>
    <xf numFmtId="0" fontId="6" fillId="2" borderId="1" xfId="1" applyFont="1" applyFill="1" applyBorder="1" applyAlignment="1" applyProtection="1">
      <alignment vertical="top"/>
      <protection hidden="1"/>
    </xf>
    <xf numFmtId="49" fontId="6" fillId="2" borderId="21" xfId="0" applyNumberFormat="1" applyFont="1" applyFill="1" applyBorder="1" applyAlignment="1" applyProtection="1">
      <alignment horizontal="left" vertical="top" wrapText="1"/>
      <protection hidden="1"/>
    </xf>
    <xf numFmtId="44" fontId="6" fillId="2" borderId="22" xfId="3" applyNumberFormat="1" applyFont="1" applyFill="1" applyBorder="1" applyAlignment="1" applyProtection="1">
      <alignment horizontal="left" vertical="top" wrapText="1"/>
      <protection hidden="1"/>
    </xf>
    <xf numFmtId="44" fontId="6" fillId="2" borderId="1" xfId="3" applyNumberFormat="1" applyFont="1" applyFill="1" applyBorder="1" applyAlignment="1" applyProtection="1">
      <alignment horizontal="left" vertical="top" wrapText="1"/>
      <protection hidden="1"/>
    </xf>
    <xf numFmtId="0" fontId="2" fillId="0" borderId="8" xfId="0" applyFont="1" applyFill="1" applyBorder="1" applyAlignment="1" applyProtection="1">
      <alignment vertical="top"/>
      <protection hidden="1"/>
    </xf>
    <xf numFmtId="2" fontId="4" fillId="0" borderId="5" xfId="0" applyNumberFormat="1" applyFont="1" applyFill="1" applyBorder="1" applyAlignment="1" applyProtection="1">
      <alignment vertical="center"/>
      <protection hidden="1"/>
    </xf>
    <xf numFmtId="44" fontId="4" fillId="0" borderId="18" xfId="3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top"/>
      <protection hidden="1"/>
    </xf>
    <xf numFmtId="164" fontId="4" fillId="0" borderId="6" xfId="0" applyNumberFormat="1" applyFont="1" applyBorder="1" applyAlignment="1" applyProtection="1">
      <alignment horizontal="left" vertical="center"/>
      <protection hidden="1"/>
    </xf>
    <xf numFmtId="164" fontId="4" fillId="0" borderId="6" xfId="0" applyNumberFormat="1" applyFont="1" applyBorder="1" applyAlignment="1" applyProtection="1">
      <alignment vertical="center"/>
      <protection hidden="1"/>
    </xf>
    <xf numFmtId="44" fontId="1" fillId="0" borderId="15" xfId="3" applyNumberFormat="1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top"/>
      <protection hidden="1"/>
    </xf>
    <xf numFmtId="2" fontId="4" fillId="0" borderId="6" xfId="0" applyNumberFormat="1" applyFont="1" applyBorder="1" applyAlignment="1" applyProtection="1">
      <alignment horizontal="left" vertical="center"/>
      <protection hidden="1"/>
    </xf>
    <xf numFmtId="2" fontId="4" fillId="0" borderId="6" xfId="0" applyNumberFormat="1" applyFont="1" applyBorder="1" applyAlignment="1" applyProtection="1">
      <alignment vertical="center"/>
      <protection hidden="1"/>
    </xf>
    <xf numFmtId="44" fontId="4" fillId="0" borderId="15" xfId="3" applyNumberFormat="1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2" fontId="1" fillId="0" borderId="13" xfId="0" applyNumberFormat="1" applyFont="1" applyBorder="1" applyAlignment="1" applyProtection="1">
      <alignment horizontal="left" vertical="center" wrapText="1"/>
      <protection hidden="1"/>
    </xf>
    <xf numFmtId="2" fontId="4" fillId="0" borderId="13" xfId="0" applyNumberFormat="1" applyFont="1" applyFill="1" applyBorder="1" applyAlignment="1" applyProtection="1">
      <alignment vertical="center"/>
      <protection hidden="1"/>
    </xf>
    <xf numFmtId="44" fontId="4" fillId="0" borderId="15" xfId="3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2" fontId="11" fillId="0" borderId="13" xfId="0" applyNumberFormat="1" applyFont="1" applyFill="1" applyBorder="1" applyAlignment="1" applyProtection="1">
      <alignment horizontal="left" vertical="center" wrapText="1"/>
      <protection hidden="1"/>
    </xf>
    <xf numFmtId="2" fontId="2" fillId="0" borderId="13" xfId="0" applyNumberFormat="1" applyFont="1" applyFill="1" applyBorder="1" applyAlignment="1" applyProtection="1">
      <alignment vertical="center"/>
      <protection hidden="1"/>
    </xf>
    <xf numFmtId="44" fontId="2" fillId="0" borderId="15" xfId="3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2" fontId="1" fillId="0" borderId="13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center" wrapText="1"/>
      <protection hidden="1"/>
    </xf>
    <xf numFmtId="2" fontId="25" fillId="0" borderId="13" xfId="0" applyNumberFormat="1" applyFont="1" applyBorder="1" applyAlignment="1" applyProtection="1">
      <alignment horizontal="left" vertical="center" wrapText="1"/>
      <protection hidden="1"/>
    </xf>
    <xf numFmtId="2" fontId="26" fillId="0" borderId="13" xfId="0" applyNumberFormat="1" applyFont="1" applyFill="1" applyBorder="1" applyAlignment="1" applyProtection="1">
      <alignment vertical="center"/>
      <protection hidden="1"/>
    </xf>
    <xf numFmtId="44" fontId="26" fillId="0" borderId="15" xfId="3" applyNumberFormat="1" applyFont="1" applyFill="1" applyBorder="1" applyAlignment="1" applyProtection="1">
      <alignment horizontal="right" vertical="center"/>
      <protection hidden="1"/>
    </xf>
    <xf numFmtId="0" fontId="1" fillId="0" borderId="13" xfId="0" applyFont="1" applyBorder="1" applyAlignment="1" applyProtection="1">
      <alignment horizontal="left" vertical="center" wrapText="1"/>
      <protection hidden="1"/>
    </xf>
    <xf numFmtId="44" fontId="1" fillId="0" borderId="0" xfId="0" applyNumberFormat="1" applyFont="1" applyAlignment="1" applyProtection="1">
      <alignment horizontal="left" vertical="center"/>
      <protection hidden="1"/>
    </xf>
    <xf numFmtId="49" fontId="1" fillId="0" borderId="0" xfId="2" applyNumberFormat="1" applyFont="1" applyFill="1" applyBorder="1" applyAlignment="1" applyProtection="1">
      <alignment horizontal="left" vertical="center" wrapText="1"/>
      <protection hidden="1"/>
    </xf>
    <xf numFmtId="44" fontId="1" fillId="0" borderId="0" xfId="0" applyNumberFormat="1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2" fontId="1" fillId="0" borderId="0" xfId="0" applyNumberFormat="1" applyFont="1" applyAlignment="1" applyProtection="1">
      <alignment horizontal="left" vertical="center" wrapText="1"/>
      <protection hidden="1"/>
    </xf>
    <xf numFmtId="0" fontId="11" fillId="0" borderId="0" xfId="2" applyFont="1" applyFill="1" applyBorder="1" applyAlignment="1" applyProtection="1">
      <alignment horizontal="left" vertical="center" wrapText="1"/>
      <protection hidden="1"/>
    </xf>
    <xf numFmtId="0" fontId="1" fillId="0" borderId="13" xfId="2" applyFont="1" applyFill="1" applyBorder="1" applyAlignment="1" applyProtection="1">
      <alignment horizontal="left" vertical="center" wrapText="1"/>
      <protection hidden="1"/>
    </xf>
    <xf numFmtId="0" fontId="1" fillId="0" borderId="0" xfId="2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protection hidden="1"/>
    </xf>
    <xf numFmtId="2" fontId="4" fillId="0" borderId="0" xfId="0" applyNumberFormat="1" applyFont="1" applyFill="1" applyBorder="1" applyAlignment="1" applyProtection="1">
      <alignment vertical="top"/>
      <protection hidden="1"/>
    </xf>
    <xf numFmtId="44" fontId="4" fillId="0" borderId="0" xfId="3" applyNumberFormat="1" applyFont="1" applyFill="1" applyBorder="1" applyAlignment="1" applyProtection="1">
      <alignment horizontal="right" vertical="top"/>
      <protection hidden="1"/>
    </xf>
    <xf numFmtId="44" fontId="1" fillId="0" borderId="0" xfId="3" applyNumberFormat="1" applyFont="1" applyAlignment="1" applyProtection="1">
      <alignment horizontal="left" vertical="center" wrapText="1"/>
      <protection hidden="1"/>
    </xf>
    <xf numFmtId="0" fontId="5" fillId="0" borderId="0" xfId="1" applyFont="1" applyAlignme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9" fillId="0" borderId="0" xfId="1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6" fillId="2" borderId="1" xfId="0" applyFont="1" applyFill="1" applyBorder="1" applyAlignment="1" applyProtection="1">
      <alignment vertical="top"/>
      <protection hidden="1"/>
    </xf>
    <xf numFmtId="0" fontId="18" fillId="2" borderId="0" xfId="0" quotePrefix="1" applyFont="1" applyFill="1" applyBorder="1" applyAlignment="1" applyProtection="1">
      <alignment horizontal="right" vertical="center" wrapText="1"/>
      <protection hidden="1"/>
    </xf>
    <xf numFmtId="0" fontId="16" fillId="2" borderId="47" xfId="0" applyFont="1" applyFill="1" applyBorder="1" applyAlignment="1" applyProtection="1">
      <alignment horizontal="left" vertical="top" wrapText="1"/>
      <protection hidden="1"/>
    </xf>
    <xf numFmtId="0" fontId="1" fillId="0" borderId="32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vertical="center" wrapText="1"/>
      <protection hidden="1"/>
    </xf>
    <xf numFmtId="0" fontId="2" fillId="0" borderId="25" xfId="0" applyFont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20" fillId="0" borderId="0" xfId="0" applyFont="1" applyFill="1" applyBorder="1" applyAlignment="1" applyProtection="1">
      <alignment horizontal="left" vertical="top"/>
      <protection hidden="1"/>
    </xf>
    <xf numFmtId="0" fontId="1" fillId="0" borderId="0" xfId="0" applyFont="1" applyFill="1" applyBorder="1" applyAlignment="1" applyProtection="1">
      <alignment horizontal="left" vertical="top"/>
      <protection hidden="1"/>
    </xf>
    <xf numFmtId="0" fontId="1" fillId="0" borderId="9" xfId="0" applyFont="1" applyFill="1" applyBorder="1" applyAlignment="1" applyProtection="1">
      <alignment horizontal="left" vertical="top"/>
      <protection hidden="1"/>
    </xf>
    <xf numFmtId="0" fontId="1" fillId="0" borderId="0" xfId="0" applyFont="1" applyFill="1" applyAlignment="1" applyProtection="1">
      <alignment horizontal="left" vertical="center"/>
      <protection hidden="1"/>
    </xf>
    <xf numFmtId="0" fontId="1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top" wrapText="1"/>
      <protection hidden="1"/>
    </xf>
    <xf numFmtId="0" fontId="1" fillId="0" borderId="9" xfId="0" applyFont="1" applyFill="1" applyBorder="1" applyAlignment="1" applyProtection="1">
      <alignment horizontal="left" vertical="top" wrapText="1"/>
      <protection hidden="1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0" fontId="25" fillId="0" borderId="9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Fill="1" applyBorder="1" applyAlignment="1" applyProtection="1">
      <alignment horizontal="left" vertical="top"/>
      <protection hidden="1"/>
    </xf>
    <xf numFmtId="0" fontId="21" fillId="0" borderId="0" xfId="0" applyFont="1" applyFill="1" applyBorder="1" applyAlignment="1" applyProtection="1">
      <alignment horizontal="left" vertical="top" wrapText="1"/>
      <protection hidden="1"/>
    </xf>
    <xf numFmtId="0" fontId="21" fillId="0" borderId="9" xfId="0" applyFont="1" applyFill="1" applyBorder="1" applyAlignment="1" applyProtection="1">
      <alignment horizontal="left" vertical="top" wrapText="1"/>
      <protection hidden="1"/>
    </xf>
    <xf numFmtId="0" fontId="21" fillId="0" borderId="0" xfId="0" applyFont="1" applyFill="1" applyBorder="1" applyAlignment="1" applyProtection="1">
      <alignment horizontal="left" vertical="top"/>
      <protection hidden="1"/>
    </xf>
    <xf numFmtId="0" fontId="21" fillId="0" borderId="9" xfId="0" applyFont="1" applyFill="1" applyBorder="1" applyAlignment="1" applyProtection="1">
      <alignment horizontal="left" vertical="top"/>
      <protection hidden="1"/>
    </xf>
    <xf numFmtId="44" fontId="14" fillId="2" borderId="16" xfId="0" applyNumberFormat="1" applyFont="1" applyFill="1" applyBorder="1" applyProtection="1">
      <protection hidden="1"/>
    </xf>
    <xf numFmtId="165" fontId="4" fillId="0" borderId="1" xfId="0" applyNumberFormat="1" applyFont="1" applyFill="1" applyBorder="1" applyAlignment="1" applyProtection="1">
      <alignment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vertical="center" wrapText="1"/>
      <protection hidden="1"/>
    </xf>
    <xf numFmtId="0" fontId="7" fillId="2" borderId="23" xfId="0" applyFont="1" applyFill="1" applyBorder="1" applyAlignment="1" applyProtection="1">
      <alignment vertical="center" wrapText="1"/>
      <protection hidden="1"/>
    </xf>
    <xf numFmtId="165" fontId="4" fillId="2" borderId="24" xfId="0" applyNumberFormat="1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7" fillId="2" borderId="0" xfId="0" quotePrefix="1" applyFont="1" applyFill="1" applyBorder="1" applyAlignment="1" applyProtection="1">
      <alignment horizontal="right" vertical="center" wrapText="1"/>
      <protection hidden="1"/>
    </xf>
    <xf numFmtId="0" fontId="7" fillId="2" borderId="0" xfId="0" quotePrefix="1" applyFont="1" applyFill="1" applyBorder="1" applyAlignment="1" applyProtection="1">
      <alignment vertical="center" wrapText="1"/>
      <protection hidden="1"/>
    </xf>
    <xf numFmtId="165" fontId="2" fillId="2" borderId="7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166" fontId="8" fillId="0" borderId="7" xfId="0" applyNumberFormat="1" applyFont="1" applyFill="1" applyBorder="1" applyAlignment="1" applyProtection="1">
      <alignment vertical="center" wrapText="1"/>
      <protection hidden="1"/>
    </xf>
    <xf numFmtId="0" fontId="15" fillId="0" borderId="0" xfId="0" applyFont="1" applyProtection="1">
      <protection hidden="1"/>
    </xf>
    <xf numFmtId="44" fontId="4" fillId="0" borderId="7" xfId="3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right" vertical="center"/>
      <protection hidden="1"/>
    </xf>
    <xf numFmtId="0" fontId="15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8" fillId="0" borderId="9" xfId="0" applyFont="1" applyFill="1" applyBorder="1" applyAlignment="1" applyProtection="1">
      <alignment horizontal="left" vertical="center" wrapText="1"/>
      <protection hidden="1"/>
    </xf>
    <xf numFmtId="166" fontId="8" fillId="0" borderId="7" xfId="3" applyNumberFormat="1" applyFont="1" applyFill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horizontal="left" vertical="center" wrapText="1"/>
      <protection hidden="1"/>
    </xf>
    <xf numFmtId="0" fontId="11" fillId="2" borderId="0" xfId="0" applyFont="1" applyFill="1" applyBorder="1" applyProtection="1">
      <protection hidden="1"/>
    </xf>
    <xf numFmtId="0" fontId="14" fillId="2" borderId="0" xfId="0" applyFont="1" applyFill="1" applyBorder="1" applyProtection="1">
      <protection hidden="1"/>
    </xf>
    <xf numFmtId="44" fontId="23" fillId="2" borderId="16" xfId="0" applyNumberFormat="1" applyFont="1" applyFill="1" applyBorder="1" applyProtection="1"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165" fontId="4" fillId="0" borderId="1" xfId="0" applyNumberFormat="1" applyFont="1" applyFill="1" applyBorder="1" applyAlignment="1" applyProtection="1">
      <alignment vertical="center"/>
      <protection hidden="1"/>
    </xf>
    <xf numFmtId="0" fontId="11" fillId="2" borderId="3" xfId="0" applyFont="1" applyFill="1" applyBorder="1" applyProtection="1">
      <protection hidden="1"/>
    </xf>
    <xf numFmtId="0" fontId="14" fillId="2" borderId="3" xfId="0" applyFont="1" applyFill="1" applyBorder="1" applyProtection="1">
      <protection hidden="1"/>
    </xf>
    <xf numFmtId="44" fontId="14" fillId="2" borderId="4" xfId="0" applyNumberFormat="1" applyFont="1" applyFill="1" applyBorder="1" applyProtection="1"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44" fontId="4" fillId="0" borderId="7" xfId="3" applyFont="1" applyFill="1" applyBorder="1" applyAlignment="1" applyProtection="1">
      <alignment vertical="center"/>
      <protection hidden="1"/>
    </xf>
    <xf numFmtId="0" fontId="8" fillId="0" borderId="30" xfId="0" applyFont="1" applyBorder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0" fontId="14" fillId="2" borderId="33" xfId="0" applyFont="1" applyFill="1" applyBorder="1" applyProtection="1">
      <protection hidden="1"/>
    </xf>
    <xf numFmtId="0" fontId="11" fillId="2" borderId="34" xfId="0" applyFont="1" applyFill="1" applyBorder="1" applyProtection="1">
      <protection hidden="1"/>
    </xf>
    <xf numFmtId="0" fontId="14" fillId="2" borderId="34" xfId="0" applyFont="1" applyFill="1" applyBorder="1" applyProtection="1">
      <protection hidden="1"/>
    </xf>
    <xf numFmtId="44" fontId="14" fillId="2" borderId="48" xfId="0" applyNumberFormat="1" applyFont="1" applyFill="1" applyBorder="1" applyProtection="1"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vertical="center" wrapText="1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0" fontId="1" fillId="0" borderId="35" xfId="0" applyFont="1" applyBorder="1" applyAlignment="1" applyProtection="1">
      <alignment horizontal="left" vertical="center" wrapText="1"/>
      <protection hidden="1"/>
    </xf>
    <xf numFmtId="44" fontId="4" fillId="0" borderId="0" xfId="3" applyNumberFormat="1" applyFont="1" applyFill="1" applyBorder="1" applyAlignment="1" applyProtection="1">
      <alignment horizontal="left" vertical="top"/>
      <protection hidden="1"/>
    </xf>
    <xf numFmtId="0" fontId="7" fillId="0" borderId="17" xfId="0" applyFont="1" applyFill="1" applyBorder="1" applyAlignment="1" applyProtection="1">
      <alignment horizontal="center" vertical="top"/>
      <protection hidden="1"/>
    </xf>
    <xf numFmtId="0" fontId="1" fillId="0" borderId="0" xfId="2" applyFont="1" applyFill="1" applyBorder="1" applyAlignment="1" applyProtection="1">
      <alignment horizontal="left" vertical="top" wrapText="1"/>
      <protection hidden="1"/>
    </xf>
    <xf numFmtId="0" fontId="1" fillId="0" borderId="13" xfId="2" applyFont="1" applyFill="1" applyBorder="1" applyAlignment="1" applyProtection="1">
      <alignment horizontal="left" vertical="top" wrapText="1"/>
      <protection hidden="1"/>
    </xf>
    <xf numFmtId="2" fontId="4" fillId="0" borderId="13" xfId="0" applyNumberFormat="1" applyFont="1" applyFill="1" applyBorder="1" applyAlignment="1" applyProtection="1">
      <alignment vertical="top"/>
      <protection hidden="1"/>
    </xf>
    <xf numFmtId="44" fontId="4" fillId="0" borderId="15" xfId="3" applyNumberFormat="1" applyFont="1" applyFill="1" applyBorder="1" applyAlignment="1" applyProtection="1">
      <alignment horizontal="right" vertical="top"/>
      <protection hidden="1"/>
    </xf>
    <xf numFmtId="0" fontId="1" fillId="0" borderId="0" xfId="0" applyFont="1" applyFill="1" applyAlignment="1" applyProtection="1">
      <alignment horizontal="left" vertical="top"/>
      <protection hidden="1"/>
    </xf>
    <xf numFmtId="0" fontId="1" fillId="0" borderId="0" xfId="0" applyFont="1" applyFill="1" applyAlignment="1" applyProtection="1">
      <alignment horizontal="left" vertical="top" wrapText="1"/>
      <protection hidden="1"/>
    </xf>
    <xf numFmtId="0" fontId="1" fillId="0" borderId="13" xfId="0" applyFont="1" applyFill="1" applyBorder="1" applyAlignment="1" applyProtection="1">
      <alignment horizontal="left" vertical="top" wrapText="1"/>
      <protection hidden="1"/>
    </xf>
    <xf numFmtId="0" fontId="1" fillId="0" borderId="0" xfId="0" applyFont="1" applyBorder="1" applyAlignment="1" applyProtection="1">
      <alignment horizontal="left" vertical="top" wrapText="1"/>
      <protection hidden="1"/>
    </xf>
    <xf numFmtId="0" fontId="1" fillId="0" borderId="13" xfId="0" applyFont="1" applyBorder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13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43" fontId="1" fillId="0" borderId="0" xfId="6" applyFont="1" applyBorder="1" applyAlignment="1" applyProtection="1">
      <alignment horizontal="left" vertical="center" wrapText="1"/>
      <protection hidden="1"/>
    </xf>
    <xf numFmtId="43" fontId="1" fillId="0" borderId="13" xfId="6" applyFont="1" applyBorder="1" applyAlignment="1" applyProtection="1">
      <alignment horizontal="left" vertical="center" wrapText="1"/>
      <protection hidden="1"/>
    </xf>
    <xf numFmtId="43" fontId="4" fillId="0" borderId="13" xfId="6" applyFont="1" applyFill="1" applyBorder="1" applyAlignment="1" applyProtection="1">
      <alignment vertical="center"/>
      <protection hidden="1"/>
    </xf>
    <xf numFmtId="43" fontId="4" fillId="0" borderId="15" xfId="6" applyFont="1" applyFill="1" applyBorder="1" applyAlignment="1" applyProtection="1">
      <alignment horizontal="right" vertical="center"/>
      <protection hidden="1"/>
    </xf>
    <xf numFmtId="43" fontId="1" fillId="0" borderId="0" xfId="6" applyFont="1" applyAlignment="1" applyProtection="1">
      <alignment horizontal="left" vertical="center" wrapText="1"/>
      <protection hidden="1"/>
    </xf>
    <xf numFmtId="43" fontId="1" fillId="0" borderId="0" xfId="6" applyFont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2" fontId="22" fillId="0" borderId="13" xfId="0" applyNumberFormat="1" applyFont="1" applyFill="1" applyBorder="1" applyAlignment="1" applyProtection="1">
      <alignment vertical="center"/>
      <protection hidden="1"/>
    </xf>
    <xf numFmtId="44" fontId="22" fillId="0" borderId="15" xfId="3" applyNumberFormat="1" applyFont="1" applyFill="1" applyBorder="1" applyAlignment="1" applyProtection="1">
      <alignment horizontal="right" vertical="center"/>
      <protection hidden="1"/>
    </xf>
    <xf numFmtId="0" fontId="21" fillId="0" borderId="0" xfId="2" applyFont="1" applyFill="1" applyBorder="1" applyAlignment="1" applyProtection="1">
      <alignment horizontal="left" vertical="center" wrapText="1"/>
      <protection hidden="1"/>
    </xf>
    <xf numFmtId="0" fontId="21" fillId="0" borderId="13" xfId="2" applyFont="1" applyFill="1" applyBorder="1" applyAlignment="1" applyProtection="1">
      <alignment horizontal="left" vertical="center" wrapText="1"/>
      <protection hidden="1"/>
    </xf>
    <xf numFmtId="2" fontId="4" fillId="0" borderId="6" xfId="0" applyNumberFormat="1" applyFont="1" applyFill="1" applyBorder="1" applyAlignment="1" applyProtection="1">
      <alignment vertical="top"/>
      <protection hidden="1"/>
    </xf>
    <xf numFmtId="2" fontId="25" fillId="0" borderId="13" xfId="0" applyNumberFormat="1" applyFont="1" applyFill="1" applyBorder="1" applyAlignment="1" applyProtection="1">
      <alignment horizontal="left" vertical="center" wrapText="1"/>
      <protection hidden="1"/>
    </xf>
    <xf numFmtId="0" fontId="1" fillId="0" borderId="0" xfId="0" quotePrefix="1" applyFont="1" applyAlignment="1" applyProtection="1">
      <alignment horizontal="left" vertical="center"/>
      <protection hidden="1"/>
    </xf>
    <xf numFmtId="0" fontId="14" fillId="3" borderId="0" xfId="0" applyFont="1" applyFill="1" applyProtection="1">
      <protection hidden="1"/>
    </xf>
    <xf numFmtId="49" fontId="16" fillId="2" borderId="29" xfId="0" applyNumberFormat="1" applyFont="1" applyFill="1" applyBorder="1" applyAlignment="1" applyProtection="1">
      <alignment horizontal="left" vertical="top" wrapText="1"/>
      <protection hidden="1"/>
    </xf>
    <xf numFmtId="49" fontId="16" fillId="2" borderId="51" xfId="0" applyNumberFormat="1" applyFont="1" applyFill="1" applyBorder="1" applyAlignment="1" applyProtection="1">
      <alignment horizontal="left" vertical="top" wrapText="1"/>
      <protection hidden="1"/>
    </xf>
    <xf numFmtId="0" fontId="24" fillId="4" borderId="50" xfId="7" applyAlignment="1" applyProtection="1">
      <alignment vertical="center" wrapText="1"/>
      <protection hidden="1"/>
    </xf>
    <xf numFmtId="44" fontId="4" fillId="0" borderId="14" xfId="3" applyNumberFormat="1" applyFont="1" applyFill="1" applyBorder="1" applyAlignment="1" applyProtection="1">
      <alignment vertical="center"/>
      <protection locked="0" hidden="1"/>
    </xf>
    <xf numFmtId="44" fontId="4" fillId="0" borderId="0" xfId="3" applyNumberFormat="1" applyFont="1" applyAlignment="1" applyProtection="1">
      <alignment vertical="center"/>
      <protection locked="0" hidden="1"/>
    </xf>
    <xf numFmtId="44" fontId="4" fillId="0" borderId="13" xfId="3" applyNumberFormat="1" applyFont="1" applyFill="1" applyBorder="1" applyAlignment="1" applyProtection="1">
      <alignment horizontal="right" vertical="center"/>
      <protection locked="0" hidden="1"/>
    </xf>
    <xf numFmtId="44" fontId="2" fillId="0" borderId="13" xfId="3" applyNumberFormat="1" applyFont="1" applyFill="1" applyBorder="1" applyAlignment="1" applyProtection="1">
      <alignment horizontal="right" vertical="center"/>
      <protection locked="0" hidden="1"/>
    </xf>
    <xf numFmtId="44" fontId="26" fillId="0" borderId="13" xfId="3" applyNumberFormat="1" applyFont="1" applyFill="1" applyBorder="1" applyAlignment="1" applyProtection="1">
      <alignment horizontal="right" vertical="center"/>
      <protection locked="0" hidden="1"/>
    </xf>
    <xf numFmtId="44" fontId="4" fillId="0" borderId="0" xfId="3" applyNumberFormat="1" applyFont="1" applyFill="1" applyBorder="1" applyAlignment="1" applyProtection="1">
      <alignment horizontal="right" vertical="top"/>
      <protection locked="0" hidden="1"/>
    </xf>
    <xf numFmtId="44" fontId="1" fillId="0" borderId="0" xfId="3" applyNumberFormat="1" applyFont="1" applyAlignment="1" applyProtection="1">
      <alignment horizontal="left" vertical="center" wrapText="1"/>
      <protection locked="0" hidden="1"/>
    </xf>
    <xf numFmtId="44" fontId="4" fillId="0" borderId="13" xfId="3" applyNumberFormat="1" applyFont="1" applyFill="1" applyBorder="1" applyAlignment="1" applyProtection="1">
      <alignment horizontal="right" vertical="top"/>
      <protection locked="0" hidden="1"/>
    </xf>
    <xf numFmtId="43" fontId="4" fillId="0" borderId="13" xfId="6" applyFont="1" applyFill="1" applyBorder="1" applyAlignment="1" applyProtection="1">
      <alignment horizontal="right" vertical="center"/>
      <protection locked="0" hidden="1"/>
    </xf>
    <xf numFmtId="44" fontId="22" fillId="0" borderId="13" xfId="3" applyNumberFormat="1" applyFont="1" applyFill="1" applyBorder="1" applyAlignment="1" applyProtection="1">
      <alignment horizontal="right" vertical="center"/>
      <protection locked="0" hidden="1"/>
    </xf>
    <xf numFmtId="0" fontId="7" fillId="0" borderId="17" xfId="0" applyFont="1" applyFill="1" applyBorder="1" applyAlignment="1" applyProtection="1">
      <alignment horizontal="left"/>
      <protection hidden="1"/>
    </xf>
    <xf numFmtId="0" fontId="7" fillId="0" borderId="16" xfId="0" applyFont="1" applyFill="1" applyBorder="1" applyAlignment="1" applyProtection="1">
      <alignment horizontal="left"/>
      <protection hidden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167" fontId="8" fillId="0" borderId="28" xfId="0" applyNumberFormat="1" applyFont="1" applyFill="1" applyBorder="1" applyAlignment="1" applyProtection="1">
      <alignment horizontal="left" vertical="center"/>
      <protection locked="0" hidden="1"/>
    </xf>
    <xf numFmtId="167" fontId="8" fillId="0" borderId="32" xfId="0" applyNumberFormat="1" applyFont="1" applyFill="1" applyBorder="1" applyAlignment="1" applyProtection="1">
      <alignment horizontal="left" vertical="center"/>
      <protection locked="0" hidden="1"/>
    </xf>
    <xf numFmtId="9" fontId="4" fillId="0" borderId="8" xfId="4" applyFont="1" applyBorder="1" applyAlignment="1" applyProtection="1">
      <alignment horizontal="right" vertical="center"/>
      <protection locked="0"/>
    </xf>
    <xf numFmtId="9" fontId="4" fillId="0" borderId="0" xfId="4" applyFont="1" applyBorder="1" applyAlignment="1" applyProtection="1">
      <alignment horizontal="right" vertical="center"/>
      <protection locked="0"/>
    </xf>
    <xf numFmtId="44" fontId="4" fillId="0" borderId="15" xfId="3" applyFont="1" applyBorder="1" applyAlignment="1" applyProtection="1">
      <alignment horizontal="right" vertical="center"/>
      <protection locked="0"/>
    </xf>
    <xf numFmtId="44" fontId="0" fillId="0" borderId="0" xfId="3" applyFont="1" applyProtection="1">
      <protection hidden="1"/>
    </xf>
    <xf numFmtId="0" fontId="27" fillId="2" borderId="16" xfId="0" applyFont="1" applyFill="1" applyBorder="1" applyAlignment="1" applyProtection="1">
      <alignment horizontal="left" vertical="center"/>
      <protection hidden="1"/>
    </xf>
    <xf numFmtId="0" fontId="27" fillId="2" borderId="0" xfId="0" applyFont="1" applyFill="1" applyAlignment="1" applyProtection="1">
      <alignment horizontal="left" vertical="center" wrapText="1"/>
      <protection hidden="1"/>
    </xf>
    <xf numFmtId="0" fontId="27" fillId="2" borderId="13" xfId="0" applyFont="1" applyFill="1" applyBorder="1" applyAlignment="1" applyProtection="1">
      <alignment horizontal="left" vertical="center" wrapText="1"/>
      <protection hidden="1"/>
    </xf>
    <xf numFmtId="0" fontId="28" fillId="2" borderId="13" xfId="0" applyFont="1" applyFill="1" applyBorder="1" applyAlignment="1" applyProtection="1">
      <alignment horizontal="right" vertical="top"/>
      <protection hidden="1"/>
    </xf>
    <xf numFmtId="44" fontId="28" fillId="2" borderId="13" xfId="0" applyNumberFormat="1" applyFont="1" applyFill="1" applyBorder="1" applyAlignment="1" applyProtection="1">
      <alignment horizontal="right" vertical="top"/>
      <protection locked="0" hidden="1"/>
    </xf>
    <xf numFmtId="44" fontId="28" fillId="2" borderId="15" xfId="0" applyNumberFormat="1" applyFont="1" applyFill="1" applyBorder="1" applyAlignment="1" applyProtection="1">
      <alignment horizontal="right" vertical="top"/>
      <protection hidden="1"/>
    </xf>
    <xf numFmtId="0" fontId="11" fillId="2" borderId="16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horizontal="left" vertical="center" wrapText="1"/>
      <protection hidden="1"/>
    </xf>
    <xf numFmtId="0" fontId="11" fillId="2" borderId="13" xfId="0" applyFont="1" applyFill="1" applyBorder="1" applyAlignment="1" applyProtection="1">
      <alignment horizontal="left" vertical="center" wrapText="1"/>
      <protection hidden="1"/>
    </xf>
    <xf numFmtId="0" fontId="2" fillId="2" borderId="13" xfId="0" applyFont="1" applyFill="1" applyBorder="1" applyAlignment="1" applyProtection="1">
      <alignment horizontal="right" vertical="top"/>
      <protection hidden="1"/>
    </xf>
    <xf numFmtId="44" fontId="2" fillId="2" borderId="13" xfId="0" applyNumberFormat="1" applyFont="1" applyFill="1" applyBorder="1" applyAlignment="1" applyProtection="1">
      <alignment horizontal="right" vertical="top"/>
      <protection locked="0" hidden="1"/>
    </xf>
    <xf numFmtId="44" fontId="2" fillId="2" borderId="15" xfId="0" applyNumberFormat="1" applyFont="1" applyFill="1" applyBorder="1" applyAlignment="1" applyProtection="1">
      <alignment horizontal="right" vertical="top"/>
      <protection hidden="1"/>
    </xf>
    <xf numFmtId="0" fontId="8" fillId="0" borderId="16" xfId="0" applyFont="1" applyFill="1" applyBorder="1" applyAlignment="1" applyProtection="1">
      <alignment vertical="top"/>
      <protection hidden="1"/>
    </xf>
    <xf numFmtId="0" fontId="8" fillId="0" borderId="16" xfId="0" applyFont="1" applyFill="1" applyBorder="1" applyAlignment="1" applyProtection="1">
      <alignment horizontal="left" vertical="top"/>
      <protection hidden="1"/>
    </xf>
    <xf numFmtId="0" fontId="1" fillId="0" borderId="16" xfId="0" applyFont="1" applyFill="1" applyBorder="1" applyAlignment="1" applyProtection="1">
      <alignment horizontal="left" vertical="center" wrapText="1"/>
      <protection hidden="1"/>
    </xf>
    <xf numFmtId="0" fontId="1" fillId="0" borderId="16" xfId="0" applyFont="1" applyFill="1" applyBorder="1" applyAlignment="1" applyProtection="1">
      <alignment horizontal="left" vertical="top" wrapText="1"/>
      <protection hidden="1"/>
    </xf>
    <xf numFmtId="0" fontId="4" fillId="0" borderId="8" xfId="0" applyFont="1" applyFill="1" applyBorder="1" applyAlignment="1" applyProtection="1">
      <alignment horizontal="right" vertical="top"/>
      <protection hidden="1"/>
    </xf>
    <xf numFmtId="2" fontId="4" fillId="0" borderId="5" xfId="0" applyNumberFormat="1" applyFont="1" applyBorder="1" applyAlignment="1" applyProtection="1">
      <alignment horizontal="left" vertical="top"/>
      <protection hidden="1"/>
    </xf>
    <xf numFmtId="2" fontId="4" fillId="0" borderId="5" xfId="0" applyNumberFormat="1" applyFont="1" applyBorder="1" applyAlignment="1" applyProtection="1">
      <alignment vertical="top"/>
      <protection hidden="1"/>
    </xf>
    <xf numFmtId="44" fontId="4" fillId="0" borderId="8" xfId="3" applyNumberFormat="1" applyFont="1" applyFill="1" applyBorder="1" applyAlignment="1" applyProtection="1">
      <alignment vertical="top"/>
      <protection hidden="1"/>
    </xf>
    <xf numFmtId="167" fontId="8" fillId="0" borderId="28" xfId="0" applyNumberFormat="1" applyFont="1" applyFill="1" applyBorder="1" applyAlignment="1" applyProtection="1">
      <alignment horizontal="left" vertical="top"/>
      <protection locked="0" hidden="1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7" fillId="0" borderId="16" xfId="0" applyFont="1" applyFill="1" applyBorder="1" applyAlignment="1" applyProtection="1">
      <alignment horizontal="left" vertical="top"/>
      <protection hidden="1"/>
    </xf>
    <xf numFmtId="44" fontId="4" fillId="0" borderId="15" xfId="3" applyNumberFormat="1" applyFont="1" applyFill="1" applyBorder="1" applyAlignment="1" applyProtection="1">
      <alignment horizontal="left" vertical="top"/>
      <protection hidden="1"/>
    </xf>
    <xf numFmtId="2" fontId="4" fillId="0" borderId="13" xfId="0" applyNumberFormat="1" applyFont="1" applyFill="1" applyBorder="1" applyAlignment="1" applyProtection="1">
      <alignment horizontal="right" vertical="top"/>
      <protection hidden="1"/>
    </xf>
    <xf numFmtId="0" fontId="27" fillId="2" borderId="53" xfId="0" applyFont="1" applyFill="1" applyBorder="1" applyAlignment="1" applyProtection="1">
      <alignment horizontal="left" vertical="center"/>
      <protection hidden="1"/>
    </xf>
    <xf numFmtId="0" fontId="27" fillId="2" borderId="52" xfId="0" applyFont="1" applyFill="1" applyBorder="1" applyAlignment="1" applyProtection="1">
      <alignment horizontal="left" vertical="center" wrapText="1"/>
      <protection hidden="1"/>
    </xf>
    <xf numFmtId="0" fontId="27" fillId="2" borderId="54" xfId="0" applyFont="1" applyFill="1" applyBorder="1" applyAlignment="1" applyProtection="1">
      <alignment horizontal="left" vertical="center" wrapText="1"/>
      <protection hidden="1"/>
    </xf>
    <xf numFmtId="0" fontId="28" fillId="2" borderId="54" xfId="0" applyFont="1" applyFill="1" applyBorder="1" applyAlignment="1" applyProtection="1">
      <alignment horizontal="right" vertical="top"/>
      <protection hidden="1"/>
    </xf>
    <xf numFmtId="44" fontId="28" fillId="2" borderId="54" xfId="0" applyNumberFormat="1" applyFont="1" applyFill="1" applyBorder="1" applyAlignment="1" applyProtection="1">
      <alignment horizontal="right" vertical="top"/>
      <protection locked="0" hidden="1"/>
    </xf>
    <xf numFmtId="44" fontId="28" fillId="2" borderId="55" xfId="0" applyNumberFormat="1" applyFont="1" applyFill="1" applyBorder="1" applyAlignment="1" applyProtection="1">
      <alignment horizontal="right" vertical="top"/>
      <protection hidden="1"/>
    </xf>
    <xf numFmtId="0" fontId="11" fillId="2" borderId="53" xfId="0" applyFont="1" applyFill="1" applyBorder="1" applyAlignment="1" applyProtection="1">
      <alignment horizontal="left" vertical="center"/>
      <protection hidden="1"/>
    </xf>
    <xf numFmtId="0" fontId="11" fillId="2" borderId="52" xfId="0" applyFont="1" applyFill="1" applyBorder="1" applyAlignment="1" applyProtection="1">
      <alignment horizontal="left" vertical="center" wrapText="1"/>
      <protection hidden="1"/>
    </xf>
    <xf numFmtId="0" fontId="11" fillId="2" borderId="54" xfId="0" applyFont="1" applyFill="1" applyBorder="1" applyAlignment="1" applyProtection="1">
      <alignment horizontal="left" vertical="center" wrapText="1"/>
      <protection hidden="1"/>
    </xf>
    <xf numFmtId="0" fontId="2" fillId="2" borderId="54" xfId="0" applyFont="1" applyFill="1" applyBorder="1" applyAlignment="1" applyProtection="1">
      <alignment horizontal="right" vertical="top"/>
      <protection hidden="1"/>
    </xf>
    <xf numFmtId="44" fontId="2" fillId="2" borderId="54" xfId="0" applyNumberFormat="1" applyFont="1" applyFill="1" applyBorder="1" applyAlignment="1" applyProtection="1">
      <alignment horizontal="right" vertical="top"/>
      <protection locked="0" hidden="1"/>
    </xf>
    <xf numFmtId="44" fontId="2" fillId="2" borderId="55" xfId="0" applyNumberFormat="1" applyFont="1" applyFill="1" applyBorder="1" applyAlignment="1" applyProtection="1">
      <alignment horizontal="right" vertical="top"/>
      <protection hidden="1"/>
    </xf>
    <xf numFmtId="0" fontId="4" fillId="0" borderId="8" xfId="0" applyFont="1" applyFill="1" applyBorder="1" applyAlignment="1" applyProtection="1">
      <alignment vertical="top"/>
      <protection hidden="1"/>
    </xf>
    <xf numFmtId="44" fontId="3" fillId="0" borderId="8" xfId="3" applyNumberFormat="1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alignment vertical="top" wrapText="1"/>
      <protection hidden="1"/>
    </xf>
    <xf numFmtId="44" fontId="4" fillId="0" borderId="15" xfId="3" applyFont="1" applyBorder="1" applyAlignment="1" applyProtection="1">
      <alignment horizontal="right" vertical="top"/>
      <protection locked="0"/>
    </xf>
    <xf numFmtId="0" fontId="1" fillId="0" borderId="28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2" fontId="4" fillId="0" borderId="6" xfId="0" applyNumberFormat="1" applyFont="1" applyFill="1" applyBorder="1" applyAlignment="1" applyProtection="1">
      <alignment vertical="center"/>
      <protection hidden="1"/>
    </xf>
    <xf numFmtId="44" fontId="4" fillId="0" borderId="13" xfId="3" applyNumberFormat="1" applyFont="1" applyFill="1" applyBorder="1" applyAlignment="1" applyProtection="1">
      <alignment vertical="center"/>
      <protection locked="0" hidden="1"/>
    </xf>
    <xf numFmtId="44" fontId="4" fillId="0" borderId="15" xfId="3" applyNumberFormat="1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2" fontId="4" fillId="0" borderId="13" xfId="0" applyNumberFormat="1" applyFont="1" applyBorder="1" applyAlignment="1" applyProtection="1">
      <alignment vertical="center"/>
      <protection hidden="1"/>
    </xf>
    <xf numFmtId="2" fontId="2" fillId="0" borderId="13" xfId="0" applyNumberFormat="1" applyFont="1" applyBorder="1" applyAlignment="1" applyProtection="1">
      <alignment vertical="center"/>
      <protection hidden="1"/>
    </xf>
    <xf numFmtId="0" fontId="3" fillId="0" borderId="9" xfId="0" applyFont="1" applyFill="1" applyBorder="1" applyAlignment="1" applyProtection="1">
      <alignment vertical="center" wrapText="1"/>
      <protection hidden="1"/>
    </xf>
    <xf numFmtId="0" fontId="11" fillId="0" borderId="0" xfId="0" applyFont="1" applyFill="1" applyAlignment="1" applyProtection="1">
      <alignment horizontal="left" vertical="center" wrapText="1"/>
      <protection hidden="1"/>
    </xf>
    <xf numFmtId="0" fontId="29" fillId="0" borderId="16" xfId="0" applyNumberFormat="1" applyFont="1" applyFill="1" applyBorder="1" applyAlignment="1" applyProtection="1">
      <alignment vertical="top"/>
      <protection hidden="1"/>
    </xf>
    <xf numFmtId="44" fontId="30" fillId="0" borderId="13" xfId="3" applyNumberFormat="1" applyFont="1" applyFill="1" applyBorder="1" applyAlignment="1" applyProtection="1">
      <alignment horizontal="right" vertical="center"/>
      <protection locked="0" hidden="1"/>
    </xf>
    <xf numFmtId="44" fontId="30" fillId="0" borderId="15" xfId="3" applyNumberFormat="1" applyFont="1" applyFill="1" applyBorder="1" applyAlignment="1" applyProtection="1">
      <alignment horizontal="right" vertical="center"/>
      <protection hidden="1"/>
    </xf>
    <xf numFmtId="0" fontId="5" fillId="0" borderId="0" xfId="1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9" fillId="0" borderId="0" xfId="1" applyFont="1" applyAlignment="1" applyProtection="1">
      <protection hidden="1"/>
    </xf>
    <xf numFmtId="0" fontId="10" fillId="0" borderId="0" xfId="0" applyFont="1" applyAlignment="1" applyProtection="1">
      <protection hidden="1"/>
    </xf>
    <xf numFmtId="0" fontId="6" fillId="0" borderId="42" xfId="1" applyFont="1" applyBorder="1" applyAlignment="1" applyProtection="1">
      <alignment horizontal="center" vertical="top"/>
      <protection hidden="1"/>
    </xf>
    <xf numFmtId="0" fontId="6" fillId="0" borderId="45" xfId="1" applyFont="1" applyBorder="1" applyAlignment="1" applyProtection="1">
      <alignment horizontal="center" vertical="top"/>
      <protection hidden="1"/>
    </xf>
    <xf numFmtId="0" fontId="6" fillId="0" borderId="44" xfId="1" applyFont="1" applyBorder="1" applyAlignment="1" applyProtection="1">
      <alignment horizontal="center" vertical="top"/>
      <protection hidden="1"/>
    </xf>
    <xf numFmtId="0" fontId="6" fillId="0" borderId="46" xfId="1" applyFont="1" applyBorder="1" applyAlignment="1" applyProtection="1">
      <alignment horizontal="center" vertical="top"/>
      <protection hidden="1"/>
    </xf>
    <xf numFmtId="0" fontId="8" fillId="0" borderId="37" xfId="0" applyFont="1" applyBorder="1" applyAlignment="1" applyProtection="1">
      <alignment horizontal="left" vertical="center"/>
      <protection hidden="1"/>
    </xf>
    <xf numFmtId="0" fontId="8" fillId="0" borderId="38" xfId="0" applyFont="1" applyBorder="1" applyAlignment="1" applyProtection="1">
      <alignment horizontal="left" vertical="center"/>
      <protection hidden="1"/>
    </xf>
    <xf numFmtId="0" fontId="8" fillId="0" borderId="5" xfId="0" applyFont="1" applyBorder="1" applyAlignment="1" applyProtection="1">
      <alignment horizontal="left" vertical="center"/>
      <protection hidden="1"/>
    </xf>
    <xf numFmtId="0" fontId="8" fillId="0" borderId="43" xfId="0" applyFont="1" applyBorder="1" applyAlignment="1" applyProtection="1">
      <alignment horizontal="left" vertical="center"/>
      <protection hidden="1"/>
    </xf>
    <xf numFmtId="0" fontId="8" fillId="0" borderId="10" xfId="0" applyFont="1" applyBorder="1" applyAlignment="1" applyProtection="1">
      <alignment horizontal="left" vertical="top"/>
      <protection hidden="1"/>
    </xf>
    <xf numFmtId="0" fontId="8" fillId="0" borderId="11" xfId="0" applyFont="1" applyBorder="1" applyAlignment="1" applyProtection="1">
      <alignment horizontal="left" vertical="top"/>
      <protection hidden="1"/>
    </xf>
    <xf numFmtId="0" fontId="8" fillId="0" borderId="12" xfId="0" applyFont="1" applyBorder="1" applyAlignment="1" applyProtection="1">
      <alignment horizontal="left" vertical="top"/>
      <protection hidden="1"/>
    </xf>
    <xf numFmtId="0" fontId="8" fillId="0" borderId="39" xfId="0" applyFont="1" applyBorder="1" applyAlignment="1" applyProtection="1">
      <alignment horizontal="left" vertical="top"/>
      <protection hidden="1"/>
    </xf>
    <xf numFmtId="0" fontId="8" fillId="0" borderId="36" xfId="0" applyFont="1" applyBorder="1" applyAlignment="1" applyProtection="1">
      <alignment horizontal="left" vertical="top"/>
      <protection hidden="1"/>
    </xf>
    <xf numFmtId="0" fontId="8" fillId="0" borderId="42" xfId="0" applyFont="1" applyBorder="1" applyAlignment="1" applyProtection="1">
      <alignment horizontal="left" vertical="top"/>
      <protection hidden="1"/>
    </xf>
    <xf numFmtId="0" fontId="8" fillId="0" borderId="40" xfId="0" applyFont="1" applyBorder="1" applyAlignment="1" applyProtection="1">
      <alignment horizontal="left" vertical="top"/>
      <protection hidden="1"/>
    </xf>
    <xf numFmtId="0" fontId="8" fillId="0" borderId="41" xfId="0" applyFont="1" applyBorder="1" applyAlignment="1" applyProtection="1">
      <alignment horizontal="left" vertical="top"/>
      <protection hidden="1"/>
    </xf>
    <xf numFmtId="0" fontId="8" fillId="0" borderId="44" xfId="0" applyFont="1" applyBorder="1" applyAlignment="1" applyProtection="1">
      <alignment horizontal="left" vertical="top"/>
      <protection hidden="1"/>
    </xf>
    <xf numFmtId="0" fontId="2" fillId="2" borderId="2" xfId="1" applyFont="1" applyFill="1" applyBorder="1" applyAlignment="1" applyProtection="1">
      <alignment horizontal="left" vertical="center" wrapText="1"/>
      <protection hidden="1"/>
    </xf>
    <xf numFmtId="0" fontId="2" fillId="2" borderId="3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0" fontId="4" fillId="0" borderId="26" xfId="1" applyFont="1" applyBorder="1" applyAlignment="1" applyProtection="1">
      <alignment horizontal="center" vertical="center" wrapText="1"/>
      <protection hidden="1"/>
    </xf>
    <xf numFmtId="0" fontId="4" fillId="0" borderId="27" xfId="1" applyFont="1" applyBorder="1" applyAlignment="1" applyProtection="1">
      <alignment horizontal="center" vertical="center" wrapText="1"/>
      <protection hidden="1"/>
    </xf>
    <xf numFmtId="0" fontId="4" fillId="0" borderId="8" xfId="1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8" fillId="0" borderId="31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</cellXfs>
  <cellStyles count="9">
    <cellStyle name="Invoer" xfId="7" builtinId="20"/>
    <cellStyle name="Komma" xfId="6" builtinId="3"/>
    <cellStyle name="Procent" xfId="4" builtinId="5"/>
    <cellStyle name="Standaard" xfId="0" builtinId="0"/>
    <cellStyle name="Standaard 2" xfId="5"/>
    <cellStyle name="Standaard_Nk.109 overzicht objecten en coderingen" xfId="2"/>
    <cellStyle name="Standaard_Object gegevens 2" xfId="1"/>
    <cellStyle name="Stijl 1" xfId="8"/>
    <cellStyle name="Valuta" xfId="3" builtinId="4"/>
  </cellStyles>
  <dxfs count="98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3CB6CE"/>
        </patternFill>
      </fill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 style="double">
          <color indexed="64"/>
        </right>
        <top/>
        <bottom/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3CB6CE"/>
        </patternFill>
      </fill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3CB6CE"/>
        </patternFill>
      </fill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3CB6CE"/>
        </patternFill>
      </fill>
      <border diagonalUp="0" diagonalDown="0" outline="0">
        <left style="medium">
          <color indexed="64"/>
        </left>
        <right/>
        <top style="double">
          <color theme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3CB6CE"/>
        </patternFill>
      </fill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general" vertical="top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6" formatCode="_ [$€-413]\ * #,##0.00_ ;_ [$€-413]\ * \-#,##0.00_ ;_ [$€-413]\ * &quot;-&quot;??_ ;_ @_ "/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3CB6CE"/>
        </patternFill>
      </fill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double">
          <color indexed="64"/>
        </right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3CB6CE"/>
        </patternFill>
      </fill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righ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3CB6CE"/>
        </patternFill>
      </fill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3CB6CE"/>
        </patternFill>
      </fill>
      <border diagonalUp="0" diagonalDown="0" outline="0">
        <left style="medium">
          <color indexed="64"/>
        </left>
        <right/>
        <top style="double">
          <color theme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indexed="64"/>
          <bgColor rgb="FF3CB6CE"/>
        </patternFill>
      </fill>
      <protection locked="1" hidden="1"/>
    </dxf>
    <dxf>
      <border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3CB6CE"/>
        </patternFill>
      </fill>
      <alignment textRotation="0" wrapText="1" indent="0" justifyLastLine="0" shrinkToFit="0" readingOrder="0"/>
      <protection locked="1" hidden="1"/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double">
          <color indexed="64"/>
        </bottom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>
        <bottom style="medium">
          <color auto="1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font>
        <b/>
      </font>
      <fill>
        <patternFill patternType="solid">
          <fgColor rgb="FF000000"/>
          <bgColor rgb="FF3CB6CE"/>
        </patternFill>
      </fill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outline="0">
        <left style="medium">
          <color indexed="64"/>
        </left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double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border>
        <top style="double">
          <color indexed="64"/>
        </top>
      </border>
    </dxf>
    <dxf>
      <font>
        <b/>
      </font>
      <fill>
        <patternFill patternType="solid">
          <fgColor rgb="FF000000"/>
          <bgColor rgb="FF3CB6CE"/>
        </patternFill>
      </fill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double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border>
        <top style="double">
          <color indexed="64"/>
        </top>
      </border>
    </dxf>
    <dxf>
      <font>
        <b/>
      </font>
      <fill>
        <patternFill patternType="solid">
          <fgColor rgb="FF000000"/>
          <bgColor rgb="FF3CB6CE"/>
        </patternFill>
      </fill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double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border>
        <top style="double">
          <color indexed="64"/>
        </top>
      </border>
    </dxf>
    <dxf>
      <font>
        <b/>
      </font>
      <fill>
        <patternFill patternType="solid">
          <fgColor rgb="FF000000"/>
          <bgColor rgb="FF3CB6CE"/>
        </patternFill>
      </fill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1"/>
    </dxf>
    <dxf>
      <border outline="0"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double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3CB6CE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3CB6CE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double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7" formatCode="0;\-0;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1"/>
    </dxf>
    <dxf>
      <border>
        <top style="double">
          <color indexed="64"/>
        </top>
      </border>
    </dxf>
    <dxf>
      <font>
        <b/>
      </font>
      <fill>
        <patternFill patternType="solid">
          <fgColor indexed="64"/>
          <bgColor rgb="FF3CB6CE"/>
        </patternFill>
      </fill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3CB6CE"/>
        </patternFill>
      </fill>
      <protection locked="1" hidden="1"/>
    </dxf>
    <dxf>
      <font>
        <b/>
        <i val="0"/>
      </font>
    </dxf>
    <dxf>
      <font>
        <b val="0"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9" defaultPivotStyle="PivotStyleLight16"/>
  <colors>
    <mruColors>
      <color rgb="FF3CB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powerPivotData" Target="model/item.data"/><Relationship Id="rId68" Type="http://schemas.openxmlformats.org/officeDocument/2006/relationships/customXml" Target="../customXml/item4.xml"/><Relationship Id="rId76" Type="http://schemas.openxmlformats.org/officeDocument/2006/relationships/customXml" Target="../customXml/item12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74" Type="http://schemas.openxmlformats.org/officeDocument/2006/relationships/customXml" Target="../customXml/item10.xml"/><Relationship Id="rId79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onnections" Target="connections.xml"/><Relationship Id="rId65" Type="http://schemas.openxmlformats.org/officeDocument/2006/relationships/customXml" Target="../customXml/item1.xml"/><Relationship Id="rId73" Type="http://schemas.openxmlformats.org/officeDocument/2006/relationships/customXml" Target="../customXml/item9.xml"/><Relationship Id="rId78" Type="http://schemas.openxmlformats.org/officeDocument/2006/relationships/customXml" Target="../customXml/item14.xml"/><Relationship Id="rId8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69" Type="http://schemas.openxmlformats.org/officeDocument/2006/relationships/customXml" Target="../customXml/item5.xml"/><Relationship Id="rId77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8.xml"/><Relationship Id="rId80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70" Type="http://schemas.openxmlformats.org/officeDocument/2006/relationships/customXml" Target="../customXml/item6.xml"/><Relationship Id="rId75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1" name="Tabel_Totaal_werkzaamheden" displayName="Tabel_Totaal_werkzaamheden" ref="A7:F82" totalsRowCount="1" headerRowDxfId="975" dataDxfId="973" totalsRowDxfId="971" headerRowBorderDxfId="974" tableBorderDxfId="972" totalsRowBorderDxfId="970">
  <tableColumns count="6">
    <tableColumn id="1" name="PARA-GRAAF" totalsRowLabel="TOTAAL WERKZAAMHEDEN" dataDxfId="969" totalsRowDxfId="968">
      <calculatedColumnFormula>IF(Tabel_Totaal_werkzaamheden[[#This Row],[OMSCHRIJVING]]="","",_xlfn.IFNA(VLOOKUP(Tabel_Totaal_werkzaamheden[[#This Row],[OMSCHRIJVING]],Verwijzingsblad!$B$2:$C$186,3,FALSE),""))</calculatedColumnFormula>
    </tableColumn>
    <tableColumn id="2" name="OMSCHRIJVING" dataDxfId="967" totalsRowDxfId="966"/>
    <tableColumn id="3" name="EENHEID" dataDxfId="965" totalsRowDxfId="964"/>
    <tableColumn id="4" name="HOEVEELHEID RESULTAATS- VERPLICHTING" totalsRowFunction="custom" dataDxfId="963" totalsRowDxfId="962">
      <totalsRowFormula>B3</totalsRowFormula>
    </tableColumn>
    <tableColumn id="5" name="PRIJS PER EENHEID IN EURO" totalsRowFunction="custom" dataDxfId="961" totalsRowDxfId="960" dataCellStyle="Valuta">
      <totalsRowFormula>A3</totalsRowFormula>
    </tableColumn>
    <tableColumn id="6" name="TOTAALBEDRAG IN EURO" totalsRowFunction="sum" dataDxfId="959" totalsRowDxfId="958" dataCellStyle="Valuta"/>
  </tableColumns>
  <tableStyleInfo name="TableStyleMedium16" showFirstColumn="0" showLastColumn="0" showRowStripes="0" showColumnStripes="0"/>
</table>
</file>

<file path=xl/tables/table10.xml><?xml version="1.0" encoding="utf-8"?>
<table xmlns="http://schemas.openxmlformats.org/spreadsheetml/2006/main" id="12" name="Tabel_Totaal_werkzaamheden213" displayName="Tabel_Totaal_werkzaamheden213" ref="A7:F41" totalsRowCount="1" headerRowDxfId="818" dataDxfId="816" totalsRowDxfId="814" headerRowBorderDxfId="817" tableBorderDxfId="815">
  <autoFilter ref="A7:F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813" totalsRowDxfId="812">
      <calculatedColumnFormula>IF(Tabel_Totaal_werkzaamheden213[[#This Row],[OMSCHRIJVING]]="","",_xlfn.IFNA(VLOOKUP(Tabel_Totaal_werkzaamheden213[[#This Row],[OMSCHRIJVING]],Verwijzingsblad!$B$2:$C$186,3,FALSE),""))</calculatedColumnFormula>
    </tableColumn>
    <tableColumn id="2" name="OMSCHRIJVING" dataDxfId="811" totalsRowDxfId="810"/>
    <tableColumn id="3" name="EENHEID" dataDxfId="809" totalsRowDxfId="808"/>
    <tableColumn id="4" name="HOEVEELHEID RESULTAATS- VERPLICHTING" totalsRowFunction="custom" dataDxfId="807" totalsRowDxfId="806">
      <totalsRowFormula>B3</totalsRowFormula>
    </tableColumn>
    <tableColumn id="5" name="PRIJS PER EENHEID IN EURO" totalsRowFunction="custom" dataDxfId="805" totalsRowDxfId="804" dataCellStyle="Valuta">
      <totalsRowFormula>A3</totalsRowFormula>
    </tableColumn>
    <tableColumn id="6" name="TOTAALBEDRAG IN EURO" totalsRowFunction="sum" dataDxfId="803" totalsRowDxfId="802" dataCellStyle="Valuta"/>
  </tableColumns>
  <tableStyleInfo name="TableStyleMedium16" showFirstColumn="0" showLastColumn="0" showRowStripes="0" showColumnStripes="0"/>
</table>
</file>

<file path=xl/tables/table11.xml><?xml version="1.0" encoding="utf-8"?>
<table xmlns="http://schemas.openxmlformats.org/spreadsheetml/2006/main" id="13" name="Tabel_Totaal_werkzaamheden214" displayName="Tabel_Totaal_werkzaamheden214" ref="A7:F81" totalsRowCount="1" headerRowDxfId="801" dataDxfId="799" totalsRowDxfId="797" headerRowBorderDxfId="800" tableBorderDxfId="798">
  <autoFilter ref="A7:F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796" totalsRowDxfId="795">
      <calculatedColumnFormula>IF(Tabel_Totaal_werkzaamheden214[[#This Row],[OMSCHRIJVING]]="","",_xlfn.IFNA(VLOOKUP(Tabel_Totaal_werkzaamheden214[[#This Row],[OMSCHRIJVING]],Verwijzingsblad!$B$2:$C$186,3,FALSE),""))</calculatedColumnFormula>
    </tableColumn>
    <tableColumn id="2" name="OMSCHRIJVING" dataDxfId="794" totalsRowDxfId="793"/>
    <tableColumn id="3" name="EENHEID" dataDxfId="792" totalsRowDxfId="791"/>
    <tableColumn id="4" name="HOEVEELHEID RESULTAATS- VERPLICHTING" totalsRowFunction="custom" dataDxfId="790" totalsRowDxfId="789">
      <totalsRowFormula>B3</totalsRowFormula>
    </tableColumn>
    <tableColumn id="5" name="PRIJS PER EENHEID IN EURO" totalsRowFunction="custom" dataDxfId="788" totalsRowDxfId="787" dataCellStyle="Valuta">
      <totalsRowFormula>A3</totalsRowFormula>
    </tableColumn>
    <tableColumn id="6" name="TOTAALBEDRAG IN EURO" totalsRowFunction="sum" dataDxfId="786" totalsRowDxfId="785" dataCellStyle="Valuta"/>
  </tableColumns>
  <tableStyleInfo name="TableStyleMedium16" showFirstColumn="0" showLastColumn="0" showRowStripes="0" showColumnStripes="0"/>
</table>
</file>

<file path=xl/tables/table12.xml><?xml version="1.0" encoding="utf-8"?>
<table xmlns="http://schemas.openxmlformats.org/spreadsheetml/2006/main" id="14" name="Tabel_Totaal_werkzaamheden215" displayName="Tabel_Totaal_werkzaamheden215" ref="A7:F81" totalsRowCount="1" headerRowDxfId="784" dataDxfId="782" totalsRowDxfId="780" headerRowBorderDxfId="783" tableBorderDxfId="781">
  <autoFilter ref="A7:F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779" totalsRowDxfId="778">
      <calculatedColumnFormula>IF(Tabel_Totaal_werkzaamheden215[[#This Row],[OMSCHRIJVING]]="","",_xlfn.IFNA(VLOOKUP(Tabel_Totaal_werkzaamheden215[[#This Row],[OMSCHRIJVING]],Verwijzingsblad!$B$2:$C$186,3,FALSE),""))</calculatedColumnFormula>
    </tableColumn>
    <tableColumn id="2" name="OMSCHRIJVING" dataDxfId="777" totalsRowDxfId="776"/>
    <tableColumn id="3" name="EENHEID" dataDxfId="775" totalsRowDxfId="774"/>
    <tableColumn id="4" name="HOEVEELHEID RESULTAATS- VERPLICHTING" totalsRowFunction="custom" dataDxfId="773" totalsRowDxfId="772">
      <totalsRowFormula>B3</totalsRowFormula>
    </tableColumn>
    <tableColumn id="5" name="PRIJS PER EENHEID IN EURO" totalsRowFunction="custom" dataDxfId="771" totalsRowDxfId="770" dataCellStyle="Valuta">
      <totalsRowFormula>A3</totalsRowFormula>
    </tableColumn>
    <tableColumn id="6" name="TOTAALBEDRAG IN EURO" totalsRowFunction="sum" dataDxfId="769" totalsRowDxfId="768" dataCellStyle="Valuta"/>
  </tableColumns>
  <tableStyleInfo name="TableStyleMedium16" showFirstColumn="0" showLastColumn="0" showRowStripes="0" showColumnStripes="0"/>
</table>
</file>

<file path=xl/tables/table13.xml><?xml version="1.0" encoding="utf-8"?>
<table xmlns="http://schemas.openxmlformats.org/spreadsheetml/2006/main" id="15" name="Tabel_Totaal_werkzaamheden216" displayName="Tabel_Totaal_werkzaamheden216" ref="A7:F82" totalsRowCount="1" headerRowDxfId="767" dataDxfId="765" totalsRowDxfId="763" headerRowBorderDxfId="766" tableBorderDxfId="764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762" totalsRowDxfId="761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760" totalsRowDxfId="759"/>
    <tableColumn id="3" name="EENHEID" dataDxfId="758" totalsRowDxfId="757"/>
    <tableColumn id="4" name="HOEVEELHEID RESULTAATS- VERPLICHTING" totalsRowFunction="custom" dataDxfId="756" totalsRowDxfId="755">
      <totalsRowFormula>B3</totalsRowFormula>
    </tableColumn>
    <tableColumn id="5" name="PRIJS PER EENHEID IN EURO" totalsRowFunction="custom" dataDxfId="754" totalsRowDxfId="753" dataCellStyle="Valuta">
      <totalsRowFormula>A3</totalsRowFormula>
    </tableColumn>
    <tableColumn id="6" name="TOTAALBEDRAG IN EURO" totalsRowFunction="sum" dataDxfId="752" totalsRowDxfId="751" dataCellStyle="Valuta"/>
  </tableColumns>
  <tableStyleInfo name="TableStyleMedium16" showFirstColumn="0" showLastColumn="0" showRowStripes="0" showColumnStripes="0"/>
</table>
</file>

<file path=xl/tables/table14.xml><?xml version="1.0" encoding="utf-8"?>
<table xmlns="http://schemas.openxmlformats.org/spreadsheetml/2006/main" id="16" name="Tabel_Totaal_werkzaamheden217" displayName="Tabel_Totaal_werkzaamheden217" ref="A7:F84" totalsRowCount="1" headerRowDxfId="750" dataDxfId="748" totalsRowDxfId="746" headerRowBorderDxfId="749" tableBorderDxfId="747">
  <autoFilter ref="A7:F8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745" totalsRowDxfId="744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743" totalsRowDxfId="742"/>
    <tableColumn id="3" name="EENHEID" dataDxfId="741" totalsRowDxfId="740"/>
    <tableColumn id="4" name="HOEVEELHEID RESULTAATS- VERPLICHTING" totalsRowFunction="custom" dataDxfId="739" totalsRowDxfId="738">
      <totalsRowFormula>B3</totalsRowFormula>
    </tableColumn>
    <tableColumn id="5" name="PRIJS PER EENHEID IN EURO" totalsRowFunction="custom" dataDxfId="737" totalsRowDxfId="736" dataCellStyle="Valuta">
      <totalsRowFormula>A3</totalsRowFormula>
    </tableColumn>
    <tableColumn id="6" name="TOTAALBEDRAG IN EURO" totalsRowFunction="sum" dataDxfId="735" totalsRowDxfId="734" dataCellStyle="Valuta"/>
  </tableColumns>
  <tableStyleInfo name="TableStyleMedium16" showFirstColumn="0" showLastColumn="0" showRowStripes="0" showColumnStripes="0"/>
</table>
</file>

<file path=xl/tables/table15.xml><?xml version="1.0" encoding="utf-8"?>
<table xmlns="http://schemas.openxmlformats.org/spreadsheetml/2006/main" id="17" name="Tabel_Totaal_werkzaamheden218" displayName="Tabel_Totaal_werkzaamheden218" ref="A7:F84" totalsRowCount="1" headerRowDxfId="733" dataDxfId="731" totalsRowDxfId="729" headerRowBorderDxfId="732" tableBorderDxfId="730">
  <autoFilter ref="A7:F8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728" totalsRowDxfId="727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726" totalsRowDxfId="725"/>
    <tableColumn id="3" name="EENHEID" dataDxfId="724" totalsRowDxfId="723"/>
    <tableColumn id="4" name="HOEVEELHEID RESULTAATS- VERPLICHTING" totalsRowFunction="custom" dataDxfId="722" totalsRowDxfId="721">
      <totalsRowFormula>B3</totalsRowFormula>
    </tableColumn>
    <tableColumn id="5" name="PRIJS PER EENHEID IN EURO" totalsRowFunction="custom" dataDxfId="720" totalsRowDxfId="719" dataCellStyle="Valuta">
      <totalsRowFormula>A3</totalsRowFormula>
    </tableColumn>
    <tableColumn id="6" name="TOTAALBEDRAG IN EURO" totalsRowFunction="sum" dataDxfId="718" totalsRowDxfId="717" dataCellStyle="Valuta"/>
  </tableColumns>
  <tableStyleInfo name="TableStyleMedium16" showFirstColumn="0" showLastColumn="0" showRowStripes="0" showColumnStripes="0"/>
</table>
</file>

<file path=xl/tables/table16.xml><?xml version="1.0" encoding="utf-8"?>
<table xmlns="http://schemas.openxmlformats.org/spreadsheetml/2006/main" id="18" name="Tabel_Totaal_werkzaamheden219" displayName="Tabel_Totaal_werkzaamheden219" ref="A7:F84" totalsRowCount="1" headerRowDxfId="716" dataDxfId="714" totalsRowDxfId="712" headerRowBorderDxfId="715" tableBorderDxfId="713">
  <autoFilter ref="A7:F8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711" totalsRowDxfId="710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709" totalsRowDxfId="708"/>
    <tableColumn id="3" name="EENHEID" dataDxfId="707" totalsRowDxfId="706"/>
    <tableColumn id="4" name="HOEVEELHEID RESULTAATS- VERPLICHTING" totalsRowFunction="custom" dataDxfId="705" totalsRowDxfId="704">
      <totalsRowFormula>B3</totalsRowFormula>
    </tableColumn>
    <tableColumn id="5" name="PRIJS PER EENHEID IN EURO" totalsRowFunction="custom" dataDxfId="703" totalsRowDxfId="702" dataCellStyle="Valuta">
      <totalsRowFormula>A3</totalsRowFormula>
    </tableColumn>
    <tableColumn id="6" name="TOTAALBEDRAG IN EURO" totalsRowFunction="sum" dataDxfId="701" totalsRowDxfId="700" dataCellStyle="Valuta"/>
  </tableColumns>
  <tableStyleInfo name="TableStyleMedium16" showFirstColumn="0" showLastColumn="0" showRowStripes="0" showColumnStripes="0"/>
</table>
</file>

<file path=xl/tables/table17.xml><?xml version="1.0" encoding="utf-8"?>
<table xmlns="http://schemas.openxmlformats.org/spreadsheetml/2006/main" id="19" name="Tabel_Totaal_werkzaamheden220" displayName="Tabel_Totaal_werkzaamheden220" ref="A7:F84" totalsRowCount="1" headerRowDxfId="699" dataDxfId="697" totalsRowDxfId="695" headerRowBorderDxfId="698" tableBorderDxfId="696">
  <autoFilter ref="A7:F8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694" totalsRowDxfId="693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692" totalsRowDxfId="691"/>
    <tableColumn id="3" name="EENHEID" dataDxfId="690" totalsRowDxfId="689"/>
    <tableColumn id="4" name="HOEVEELHEID RESULTAATS- VERPLICHTING" totalsRowFunction="custom" dataDxfId="688" totalsRowDxfId="687">
      <totalsRowFormula>B3</totalsRowFormula>
    </tableColumn>
    <tableColumn id="5" name="PRIJS PER EENHEID IN EURO" totalsRowFunction="custom" dataDxfId="686" totalsRowDxfId="685" dataCellStyle="Valuta">
      <totalsRowFormula>A3</totalsRowFormula>
    </tableColumn>
    <tableColumn id="6" name="TOTAALBEDRAG IN EURO" totalsRowFunction="sum" dataDxfId="684" totalsRowDxfId="683" dataCellStyle="Valuta"/>
  </tableColumns>
  <tableStyleInfo name="TableStyleMedium16" showFirstColumn="0" showLastColumn="0" showRowStripes="0" showColumnStripes="0"/>
</table>
</file>

<file path=xl/tables/table18.xml><?xml version="1.0" encoding="utf-8"?>
<table xmlns="http://schemas.openxmlformats.org/spreadsheetml/2006/main" id="20" name="Tabel_Totaal_werkzaamheden221" displayName="Tabel_Totaal_werkzaamheden221" ref="A7:F82" totalsRowCount="1" headerRowDxfId="682" dataDxfId="680" totalsRowDxfId="678" headerRowBorderDxfId="681" tableBorderDxfId="679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677" totalsRowDxfId="676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675" totalsRowDxfId="674"/>
    <tableColumn id="3" name="EENHEID" dataDxfId="673" totalsRowDxfId="672"/>
    <tableColumn id="4" name="HOEVEELHEID RESULTAATS- VERPLICHTING" totalsRowFunction="custom" dataDxfId="671" totalsRowDxfId="670">
      <totalsRowFormula>B3</totalsRowFormula>
    </tableColumn>
    <tableColumn id="5" name="PRIJS PER EENHEID IN EURO" totalsRowFunction="custom" dataDxfId="669" totalsRowDxfId="668" dataCellStyle="Valuta">
      <totalsRowFormula>A3</totalsRowFormula>
    </tableColumn>
    <tableColumn id="6" name="TOTAALBEDRAG IN EURO" totalsRowFunction="sum" dataDxfId="667" totalsRowDxfId="666" dataCellStyle="Valuta"/>
  </tableColumns>
  <tableStyleInfo name="TableStyleMedium16" showFirstColumn="0" showLastColumn="0" showRowStripes="0" showColumnStripes="0"/>
</table>
</file>

<file path=xl/tables/table19.xml><?xml version="1.0" encoding="utf-8"?>
<table xmlns="http://schemas.openxmlformats.org/spreadsheetml/2006/main" id="21" name="Tabel_Totaal_werkzaamheden222" displayName="Tabel_Totaal_werkzaamheden222" ref="A7:F84" totalsRowCount="1" headerRowDxfId="665" dataDxfId="663" totalsRowDxfId="661" headerRowBorderDxfId="664" tableBorderDxfId="662">
  <autoFilter ref="A7:F8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660" totalsRowDxfId="659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658" totalsRowDxfId="657"/>
    <tableColumn id="3" name="EENHEID" dataDxfId="656" totalsRowDxfId="655"/>
    <tableColumn id="4" name="HOEVEELHEID RESULTAATS- VERPLICHTING" totalsRowFunction="custom" dataDxfId="654" totalsRowDxfId="653">
      <totalsRowFormula>B3</totalsRowFormula>
    </tableColumn>
    <tableColumn id="5" name="PRIJS PER EENHEID IN EURO" totalsRowFunction="custom" dataDxfId="652" totalsRowDxfId="651" dataCellStyle="Valuta">
      <totalsRowFormula>A3</totalsRowFormula>
    </tableColumn>
    <tableColumn id="6" name="TOTAALBEDRAG IN EURO" totalsRowFunction="sum" dataDxfId="650" totalsRowDxfId="649" dataCellStyle="Valuta"/>
  </tableColumns>
  <tableStyleInfo name="TableStyleMedium16" showFirstColumn="0" showLastColumn="0" showRowStripes="0" showColumnStripes="0"/>
</table>
</file>

<file path=xl/tables/table2.xml><?xml version="1.0" encoding="utf-8"?>
<table xmlns="http://schemas.openxmlformats.org/spreadsheetml/2006/main" id="2" name="Tabel_Totaal_werkzaamheden23" displayName="Tabel_Totaal_werkzaamheden23" ref="A7:F93" totalsRowCount="1" headerRowDxfId="957" dataDxfId="955" totalsRowDxfId="953" headerRowBorderDxfId="956" tableBorderDxfId="954" totalsRowBorderDxfId="952">
  <autoFilter ref="A7:F9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951" totalsRowDxfId="950">
      <calculatedColumnFormula>IF(Tabel_Totaal_werkzaamheden[[#This Row],[OMSCHRIJVING]]="","",_xlfn.XLOOKUP(Tabel_Totaal_werkzaamheden[[#This Row],[OMSCHRIJVING]],Verwijzingsblad!$B$2:$B$186,Verwijzingsblad!$A$2:$A$186,""))</calculatedColumnFormula>
    </tableColumn>
    <tableColumn id="2" name="OMSCHRIJVING" dataDxfId="949" totalsRowDxfId="948"/>
    <tableColumn id="3" name="EENHEID" dataDxfId="947" totalsRowDxfId="946"/>
    <tableColumn id="4" name="HOEVEELHEID RESULTAATS- VERPLICHTING" totalsRowFunction="custom" dataDxfId="945" totalsRowDxfId="944">
      <totalsRowFormula>B3</totalsRowFormula>
    </tableColumn>
    <tableColumn id="5" name="PRIJS PER EENHEID IN EURO" totalsRowFunction="custom" dataDxfId="943" totalsRowDxfId="942" dataCellStyle="Valuta">
      <totalsRowFormula>A3</totalsRowFormula>
    </tableColumn>
    <tableColumn id="6" name="TOTAALBEDRAG IN EURO" totalsRowFunction="sum" dataDxfId="941" totalsRowDxfId="940" dataCellStyle="Valuta"/>
  </tableColumns>
  <tableStyleInfo name="TableStyleMedium16" showFirstColumn="0" showLastColumn="0" showRowStripes="0" showColumnStripes="0"/>
</table>
</file>

<file path=xl/tables/table20.xml><?xml version="1.0" encoding="utf-8"?>
<table xmlns="http://schemas.openxmlformats.org/spreadsheetml/2006/main" id="22" name="Tabel_Totaal_werkzaamheden223" displayName="Tabel_Totaal_werkzaamheden223" ref="A7:F79" totalsRowCount="1" headerRowDxfId="648" dataDxfId="646" totalsRowDxfId="644" headerRowBorderDxfId="647" tableBorderDxfId="645">
  <autoFilter ref="A7:F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643" totalsRowDxfId="642">
      <calculatedColumnFormula>IF(Tabel_Totaal_werkzaamheden223[[#This Row],[OMSCHRIJVING]]="","",_xlfn.IFNA(VLOOKUP(Tabel_Totaal_werkzaamheden223[[#This Row],[OMSCHRIJVING]],Verwijzingsblad!$B$2:$C$186,3,FALSE),""))</calculatedColumnFormula>
    </tableColumn>
    <tableColumn id="2" name="OMSCHRIJVING" dataDxfId="641" totalsRowDxfId="640"/>
    <tableColumn id="3" name="EENHEID" dataDxfId="639" totalsRowDxfId="638"/>
    <tableColumn id="4" name="HOEVEELHEID RESULTAATS- VERPLICHTING" totalsRowFunction="custom" dataDxfId="637" totalsRowDxfId="636">
      <totalsRowFormula>B3</totalsRowFormula>
    </tableColumn>
    <tableColumn id="5" name="PRIJS PER EENHEID IN EURO" totalsRowFunction="custom" dataDxfId="635" totalsRowDxfId="634" dataCellStyle="Valuta">
      <totalsRowFormula>A3</totalsRowFormula>
    </tableColumn>
    <tableColumn id="6" name="TOTAALBEDRAG IN EURO" totalsRowFunction="sum" dataDxfId="633" totalsRowDxfId="632" dataCellStyle="Valuta"/>
  </tableColumns>
  <tableStyleInfo name="TableStyleMedium16" showFirstColumn="0" showLastColumn="0" showRowStripes="0" showColumnStripes="0"/>
</table>
</file>

<file path=xl/tables/table21.xml><?xml version="1.0" encoding="utf-8"?>
<table xmlns="http://schemas.openxmlformats.org/spreadsheetml/2006/main" id="1" name="Tabel_Totaal_werkzaamheden2232" displayName="Tabel_Totaal_werkzaamheden2232" ref="A7:F72" totalsRowCount="1" headerRowDxfId="631" dataDxfId="629" totalsRowDxfId="627" headerRowBorderDxfId="630" tableBorderDxfId="628">
  <autoFilter ref="A7:F7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626" totalsRowDxfId="625">
      <calculatedColumnFormula>IF(Tabel_Totaal_werkzaamheden2232[[#This Row],[OMSCHRIJVING]]="","",_xlfn.IFNA(VLOOKUP(Tabel_Totaal_werkzaamheden2232[[#This Row],[OMSCHRIJVING]],Verwijzingsblad!$B$2:$C$186,3,FALSE),""))</calculatedColumnFormula>
    </tableColumn>
    <tableColumn id="2" name="OMSCHRIJVING" dataDxfId="624" totalsRowDxfId="623"/>
    <tableColumn id="3" name="EENHEID" dataDxfId="622" totalsRowDxfId="621"/>
    <tableColumn id="4" name="HOEVEELHEID RESULTAATS- VERPLICHTING" totalsRowFunction="custom" dataDxfId="620" totalsRowDxfId="619">
      <totalsRowFormula>B3</totalsRowFormula>
    </tableColumn>
    <tableColumn id="5" name="PRIJS PER EENHEID IN EURO" totalsRowFunction="custom" dataDxfId="618" totalsRowDxfId="617" dataCellStyle="Valuta">
      <totalsRowFormula>A3</totalsRowFormula>
    </tableColumn>
    <tableColumn id="6" name="TOTAALBEDRAG IN EURO" totalsRowFunction="sum" dataDxfId="616" totalsRowDxfId="615" dataCellStyle="Valuta"/>
  </tableColumns>
  <tableStyleInfo name="TableStyleMedium16" showFirstColumn="0" showLastColumn="0" showRowStripes="0" showColumnStripes="0"/>
</table>
</file>

<file path=xl/tables/table22.xml><?xml version="1.0" encoding="utf-8"?>
<table xmlns="http://schemas.openxmlformats.org/spreadsheetml/2006/main" id="23" name="Tabel_Totaal_werkzaamheden224" displayName="Tabel_Totaal_werkzaamheden224" ref="A7:F87" totalsRowCount="1" headerRowDxfId="614" dataDxfId="612" totalsRowDxfId="610" headerRowBorderDxfId="613" tableBorderDxfId="611">
  <autoFilter ref="A7:F8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609" totalsRowDxfId="608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607" totalsRowDxfId="606"/>
    <tableColumn id="3" name="EENHEID" dataDxfId="605" totalsRowDxfId="604"/>
    <tableColumn id="4" name="HOEVEELHEID RESULTAATS- VERPLICHTING" totalsRowFunction="custom" dataDxfId="603" totalsRowDxfId="602">
      <totalsRowFormula>B3</totalsRowFormula>
    </tableColumn>
    <tableColumn id="5" name="PRIJS PER EENHEID IN EURO" totalsRowFunction="custom" dataDxfId="601" totalsRowDxfId="600" dataCellStyle="Valuta">
      <totalsRowFormula>A3</totalsRowFormula>
    </tableColumn>
    <tableColumn id="6" name="TOTAALBEDRAG IN EURO" totalsRowFunction="sum" dataDxfId="599" totalsRowDxfId="598" dataCellStyle="Valuta"/>
  </tableColumns>
  <tableStyleInfo name="TableStyleMedium16" showFirstColumn="0" showLastColumn="0" showRowStripes="0" showColumnStripes="0"/>
</table>
</file>

<file path=xl/tables/table23.xml><?xml version="1.0" encoding="utf-8"?>
<table xmlns="http://schemas.openxmlformats.org/spreadsheetml/2006/main" id="24" name="Tabel_Totaal_werkzaamheden225" displayName="Tabel_Totaal_werkzaamheden225" ref="A7:F86" totalsRowCount="1" headerRowDxfId="597" dataDxfId="595" totalsRowDxfId="593" headerRowBorderDxfId="596" tableBorderDxfId="594">
  <autoFilter ref="A7:F8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592" totalsRowDxfId="591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590" totalsRowDxfId="589"/>
    <tableColumn id="3" name="EENHEID" dataDxfId="588" totalsRowDxfId="587"/>
    <tableColumn id="4" name="HOEVEELHEID RESULTAATS- VERPLICHTING" totalsRowFunction="custom" dataDxfId="586" totalsRowDxfId="585">
      <totalsRowFormula>B3</totalsRowFormula>
    </tableColumn>
    <tableColumn id="5" name="PRIJS PER EENHEID IN EURO" totalsRowFunction="custom" dataDxfId="584" totalsRowDxfId="583" dataCellStyle="Valuta">
      <totalsRowFormula>A3</totalsRowFormula>
    </tableColumn>
    <tableColumn id="6" name="TOTAALBEDRAG IN EURO" totalsRowFunction="sum" dataDxfId="582" totalsRowDxfId="581" dataCellStyle="Valuta"/>
  </tableColumns>
  <tableStyleInfo name="TableStyleMedium16" showFirstColumn="0" showLastColumn="0" showRowStripes="0" showColumnStripes="0"/>
</table>
</file>

<file path=xl/tables/table24.xml><?xml version="1.0" encoding="utf-8"?>
<table xmlns="http://schemas.openxmlformats.org/spreadsheetml/2006/main" id="56" name="Tabel_Totaal_werkzaamheden258" displayName="Tabel_Totaal_werkzaamheden258" ref="A7:F86" totalsRowCount="1" headerRowDxfId="580" dataDxfId="578" totalsRowDxfId="576" headerRowBorderDxfId="579" tableBorderDxfId="577">
  <autoFilter ref="A7:F8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575" totalsRowDxfId="574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573" totalsRowDxfId="572"/>
    <tableColumn id="3" name="EENHEID" dataDxfId="571" totalsRowDxfId="570"/>
    <tableColumn id="4" name="HOEVEELHEID RESULTAATS- VERPLICHTING" totalsRowFunction="custom" dataDxfId="569" totalsRowDxfId="568">
      <totalsRowFormula>B3</totalsRowFormula>
    </tableColumn>
    <tableColumn id="5" name="PRIJS PER EENHEID IN EURO" totalsRowFunction="custom" dataDxfId="567" totalsRowDxfId="566" dataCellStyle="Valuta">
      <totalsRowFormula>A3</totalsRowFormula>
    </tableColumn>
    <tableColumn id="6" name="TOTAALBEDRAG IN EURO" totalsRowFunction="sum" dataDxfId="565" totalsRowDxfId="564" dataCellStyle="Valuta"/>
  </tableColumns>
  <tableStyleInfo name="TableStyleMedium16" showFirstColumn="0" showLastColumn="0" showRowStripes="0" showColumnStripes="0"/>
</table>
</file>

<file path=xl/tables/table25.xml><?xml version="1.0" encoding="utf-8"?>
<table xmlns="http://schemas.openxmlformats.org/spreadsheetml/2006/main" id="55" name="Tabel_Totaal_werkzaamheden257" displayName="Tabel_Totaal_werkzaamheden257" ref="A7:F89" totalsRowCount="1" headerRowDxfId="563" dataDxfId="561" totalsRowDxfId="559" headerRowBorderDxfId="562" tableBorderDxfId="560">
  <autoFilter ref="A7:F8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558" totalsRowDxfId="557">
      <calculatedColumnFormula>IF(Tabel_Totaal_werkzaamheden257[[#This Row],[OMSCHRIJVING]]="","",_xlfn.XLOOKUP(Tabel_Totaal_werkzaamheden257[[#This Row],[OMSCHRIJVING]],Verwijzingsblad!$B$2:$B$186,Verwijzingsblad!$A$2:$A$186,""))</calculatedColumnFormula>
    </tableColumn>
    <tableColumn id="2" name="OMSCHRIJVING" dataDxfId="556" totalsRowDxfId="555"/>
    <tableColumn id="3" name="EENHEID" dataDxfId="554" totalsRowDxfId="553"/>
    <tableColumn id="4" name="HOEVEELHEID RESULTAATS- VERPLICHTING" totalsRowFunction="custom" dataDxfId="552" totalsRowDxfId="551">
      <totalsRowFormula>B3</totalsRowFormula>
    </tableColumn>
    <tableColumn id="5" name="PRIJS PER EENHEID IN EURO" totalsRowFunction="custom" dataDxfId="550" totalsRowDxfId="549" dataCellStyle="Valuta">
      <totalsRowFormula>A3</totalsRowFormula>
    </tableColumn>
    <tableColumn id="6" name="TOTAALBEDRAG IN EURO" totalsRowFunction="sum" dataDxfId="548" totalsRowDxfId="547" dataCellStyle="Valuta"/>
  </tableColumns>
  <tableStyleInfo name="TableStyleMedium16" showFirstColumn="0" showLastColumn="0" showRowStripes="0" showColumnStripes="0"/>
</table>
</file>

<file path=xl/tables/table26.xml><?xml version="1.0" encoding="utf-8"?>
<table xmlns="http://schemas.openxmlformats.org/spreadsheetml/2006/main" id="54" name="Tabel_Totaal_werkzaamheden256" displayName="Tabel_Totaal_werkzaamheden256" ref="A7:F82" totalsRowCount="1" headerRowDxfId="546" dataDxfId="544" totalsRowDxfId="542" headerRowBorderDxfId="545" tableBorderDxfId="543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541" totalsRowDxfId="540">
      <calculatedColumnFormula>IF(Tabel_Totaal_werkzaamheden256[[#This Row],[OMSCHRIJVING]]="","",_xlfn.XLOOKUP(Tabel_Totaal_werkzaamheden256[[#This Row],[OMSCHRIJVING]],Verwijzingsblad!$B$2:$B$186,Verwijzingsblad!$A$2:$A$186,""))</calculatedColumnFormula>
    </tableColumn>
    <tableColumn id="2" name="OMSCHRIJVING" dataDxfId="539" totalsRowDxfId="538"/>
    <tableColumn id="3" name="EENHEID" dataDxfId="537" totalsRowDxfId="536"/>
    <tableColumn id="4" name="HOEVEELHEID RESULTAATS- VERPLICHTING" totalsRowFunction="custom" dataDxfId="535" totalsRowDxfId="534">
      <totalsRowFormula>B3</totalsRowFormula>
    </tableColumn>
    <tableColumn id="5" name="PRIJS PER EENHEID IN EURO" totalsRowFunction="custom" dataDxfId="533" totalsRowDxfId="532" dataCellStyle="Valuta">
      <totalsRowFormula>A3</totalsRowFormula>
    </tableColumn>
    <tableColumn id="6" name="TOTAALBEDRAG IN EURO" totalsRowFunction="sum" dataDxfId="531" totalsRowDxfId="530" dataCellStyle="Valuta"/>
  </tableColumns>
  <tableStyleInfo name="TableStyleMedium16" showFirstColumn="0" showLastColumn="0" showRowStripes="0" showColumnStripes="0"/>
</table>
</file>

<file path=xl/tables/table27.xml><?xml version="1.0" encoding="utf-8"?>
<table xmlns="http://schemas.openxmlformats.org/spreadsheetml/2006/main" id="53" name="Tabel_Totaal_werkzaamheden255" displayName="Tabel_Totaal_werkzaamheden255" ref="A7:F86" totalsRowCount="1" headerRowDxfId="529" dataDxfId="527" totalsRowDxfId="525" headerRowBorderDxfId="528" tableBorderDxfId="526">
  <autoFilter ref="A7:F8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524" totalsRowDxfId="523">
      <calculatedColumnFormula>IF(Tabel_Totaal_werkzaamheden255[[#This Row],[OMSCHRIJVING]]="","",_xlfn.XLOOKUP(Tabel_Totaal_werkzaamheden255[[#This Row],[OMSCHRIJVING]],Verwijzingsblad!$B$2:$B$186,Verwijzingsblad!$A$2:$A$186,""))</calculatedColumnFormula>
    </tableColumn>
    <tableColumn id="2" name="OMSCHRIJVING" dataDxfId="522" totalsRowDxfId="521"/>
    <tableColumn id="3" name="EENHEID" dataDxfId="520" totalsRowDxfId="519"/>
    <tableColumn id="4" name="HOEVEELHEID RESULTAATS- VERPLICHTING" totalsRowFunction="custom" dataDxfId="518" totalsRowDxfId="517">
      <totalsRowFormula>B3</totalsRowFormula>
    </tableColumn>
    <tableColumn id="5" name="PRIJS PER EENHEID IN EURO" totalsRowFunction="custom" dataDxfId="516" totalsRowDxfId="515" dataCellStyle="Valuta">
      <totalsRowFormula>A3</totalsRowFormula>
    </tableColumn>
    <tableColumn id="6" name="TOTAALBEDRAG IN EURO" totalsRowFunction="sum" dataDxfId="514" totalsRowDxfId="513" dataCellStyle="Valuta"/>
  </tableColumns>
  <tableStyleInfo name="TableStyleMedium16" showFirstColumn="0" showLastColumn="0" showRowStripes="0" showColumnStripes="0"/>
</table>
</file>

<file path=xl/tables/table28.xml><?xml version="1.0" encoding="utf-8"?>
<table xmlns="http://schemas.openxmlformats.org/spreadsheetml/2006/main" id="52" name="Tabel_Totaal_werkzaamheden254" displayName="Tabel_Totaal_werkzaamheden254" ref="A7:F79" totalsRowCount="1" headerRowDxfId="512" dataDxfId="510" totalsRowDxfId="508" headerRowBorderDxfId="511" tableBorderDxfId="509">
  <autoFilter ref="A7:F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507" totalsRowDxfId="506">
      <calculatedColumnFormula>IF(Tabel_Totaal_werkzaamheden254[[#This Row],[OMSCHRIJVING]]="","",_xlfn.XLOOKUP(Tabel_Totaal_werkzaamheden254[[#This Row],[OMSCHRIJVING]],Verwijzingsblad!$B$2:$B$186,Verwijzingsblad!$A$2:$A$186,""))</calculatedColumnFormula>
    </tableColumn>
    <tableColumn id="2" name="OMSCHRIJVING" dataDxfId="505" totalsRowDxfId="504"/>
    <tableColumn id="3" name="EENHEID" dataDxfId="503" totalsRowDxfId="502"/>
    <tableColumn id="4" name="HOEVEELHEID RESULTAATS- VERPLICHTING" totalsRowFunction="custom" dataDxfId="501" totalsRowDxfId="500">
      <totalsRowFormula>B3</totalsRowFormula>
    </tableColumn>
    <tableColumn id="5" name="PRIJS PER EENHEID IN EURO" totalsRowFunction="custom" dataDxfId="499" totalsRowDxfId="498" dataCellStyle="Valuta">
      <totalsRowFormula>A3</totalsRowFormula>
    </tableColumn>
    <tableColumn id="6" name="TOTAALBEDRAG IN EURO" totalsRowFunction="sum" dataDxfId="497" totalsRowDxfId="496" dataCellStyle="Valuta"/>
  </tableColumns>
  <tableStyleInfo name="TableStyleMedium16" showFirstColumn="0" showLastColumn="0" showRowStripes="0" showColumnStripes="0"/>
</table>
</file>

<file path=xl/tables/table29.xml><?xml version="1.0" encoding="utf-8"?>
<table xmlns="http://schemas.openxmlformats.org/spreadsheetml/2006/main" id="51" name="Tabel_Totaal_werkzaamheden253" displayName="Tabel_Totaal_werkzaamheden253" ref="A7:F81" totalsRowCount="1" headerRowDxfId="495" dataDxfId="493" totalsRowDxfId="491" headerRowBorderDxfId="494" tableBorderDxfId="492">
  <autoFilter ref="A7:F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490" totalsRowDxfId="489">
      <calculatedColumnFormula>IF(Tabel_Totaal_werkzaamheden253[[#This Row],[OMSCHRIJVING]]="","",_xlfn.XLOOKUP(Tabel_Totaal_werkzaamheden253[[#This Row],[OMSCHRIJVING]],Verwijzingsblad!$B$2:$B$186,Verwijzingsblad!$A$2:$A$186,""))</calculatedColumnFormula>
    </tableColumn>
    <tableColumn id="2" name="OMSCHRIJVING" dataDxfId="488" totalsRowDxfId="487"/>
    <tableColumn id="3" name="EENHEID" dataDxfId="486" totalsRowDxfId="485"/>
    <tableColumn id="4" name="HOEVEELHEID RESULTAATS- VERPLICHTING" totalsRowFunction="custom" dataDxfId="484" totalsRowDxfId="483">
      <totalsRowFormula>B3</totalsRowFormula>
    </tableColumn>
    <tableColumn id="5" name="PRIJS PER EENHEID IN EURO" totalsRowFunction="custom" dataDxfId="482" totalsRowDxfId="481" dataCellStyle="Valuta">
      <totalsRowFormula>A3</totalsRowFormula>
    </tableColumn>
    <tableColumn id="6" name="TOTAALBEDRAG IN EURO" totalsRowFunction="sum" dataDxfId="480" totalsRowDxfId="479" dataCellStyle="Valuta"/>
  </tableColumns>
  <tableStyleInfo name="TableStyleMedium16" showFirstColumn="0" showLastColumn="0" showRowStripes="0" showColumnStripes="0"/>
</table>
</file>

<file path=xl/tables/table3.xml><?xml version="1.0" encoding="utf-8"?>
<table xmlns="http://schemas.openxmlformats.org/spreadsheetml/2006/main" id="4" name="Tabel_Totaal_werkzaamheden235" displayName="Tabel_Totaal_werkzaamheden235" ref="A7:F86" totalsRowCount="1" headerRowDxfId="939" dataDxfId="937" totalsRowDxfId="935" headerRowBorderDxfId="938" tableBorderDxfId="936" totalsRowBorderDxfId="934">
  <autoFilter ref="A7:F8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933" totalsRowDxfId="932">
      <calculatedColumnFormula>IF(Tabel_Totaal_werkzaamheden235[[#This Row],[OMSCHRIJVING]]="","",_xlfn.IFNA(VLOOKUP(Tabel_Totaal_werkzaamheden235[[#This Row],[OMSCHRIJVING]],Verwijzingsblad!$B$2:$C$186,3,FALSE),""))</calculatedColumnFormula>
    </tableColumn>
    <tableColumn id="2" name="OMSCHRIJVING" dataDxfId="931" totalsRowDxfId="930"/>
    <tableColumn id="3" name="EENHEID" dataDxfId="929" totalsRowDxfId="928"/>
    <tableColumn id="4" name="HOEVEELHEID RESULTAATS- VERPLICHTING" totalsRowFunction="custom" dataDxfId="927" totalsRowDxfId="926">
      <totalsRowFormula>B3</totalsRowFormula>
    </tableColumn>
    <tableColumn id="5" name="PRIJS PER EENHEID IN EURO" totalsRowFunction="custom" dataDxfId="925" totalsRowDxfId="924" dataCellStyle="Valuta">
      <totalsRowFormula>A3</totalsRowFormula>
    </tableColumn>
    <tableColumn id="6" name="TOTAALBEDRAG IN EURO" totalsRowFunction="sum" dataDxfId="923" totalsRowDxfId="922" dataCellStyle="Valuta"/>
  </tableColumns>
  <tableStyleInfo name="TableStyleMedium16" showFirstColumn="0" showLastColumn="0" showRowStripes="0" showColumnStripes="0"/>
</table>
</file>

<file path=xl/tables/table30.xml><?xml version="1.0" encoding="utf-8"?>
<table xmlns="http://schemas.openxmlformats.org/spreadsheetml/2006/main" id="50" name="Tabel_Totaal_werkzaamheden252" displayName="Tabel_Totaal_werkzaamheden252" ref="A7:F88" totalsRowCount="1" headerRowDxfId="478" dataDxfId="476" totalsRowDxfId="474" headerRowBorderDxfId="477" tableBorderDxfId="475">
  <autoFilter ref="A7:F8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473" totalsRowDxfId="472">
      <calculatedColumnFormula>IF(Tabel_Totaal_werkzaamheden252[[#This Row],[OMSCHRIJVING]]="","",_xlfn.XLOOKUP(Tabel_Totaal_werkzaamheden252[[#This Row],[OMSCHRIJVING]],Verwijzingsblad!$B$2:$B$186,Verwijzingsblad!$A$2:$A$186,""))</calculatedColumnFormula>
    </tableColumn>
    <tableColumn id="2" name="OMSCHRIJVING" dataDxfId="471" totalsRowDxfId="470"/>
    <tableColumn id="3" name="EENHEID" dataDxfId="469" totalsRowDxfId="468"/>
    <tableColumn id="4" name="HOEVEELHEID RESULTAATS- VERPLICHTING" totalsRowFunction="custom" dataDxfId="467" totalsRowDxfId="466">
      <totalsRowFormula>B3</totalsRowFormula>
    </tableColumn>
    <tableColumn id="5" name="PRIJS PER EENHEID IN EURO" totalsRowFunction="custom" dataDxfId="465" totalsRowDxfId="464" dataCellStyle="Valuta">
      <totalsRowFormula>A3</totalsRowFormula>
    </tableColumn>
    <tableColumn id="6" name="TOTAALBEDRAG IN EURO" totalsRowFunction="sum" dataDxfId="463" totalsRowDxfId="462" dataCellStyle="Valuta"/>
  </tableColumns>
  <tableStyleInfo name="TableStyleMedium16" showFirstColumn="0" showLastColumn="0" showRowStripes="0" showColumnStripes="0"/>
</table>
</file>

<file path=xl/tables/table31.xml><?xml version="1.0" encoding="utf-8"?>
<table xmlns="http://schemas.openxmlformats.org/spreadsheetml/2006/main" id="49" name="Tabel_Totaal_werkzaamheden251" displayName="Tabel_Totaal_werkzaamheden251" ref="A7:F81" totalsRowCount="1" headerRowDxfId="461" dataDxfId="459" totalsRowDxfId="457" headerRowBorderDxfId="460" tableBorderDxfId="458">
  <autoFilter ref="A7:F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456" totalsRowDxfId="455">
      <calculatedColumnFormula>IF(Tabel_Totaal_werkzaamheden251[[#This Row],[OMSCHRIJVING]]="","",_xlfn.XLOOKUP(Tabel_Totaal_werkzaamheden251[[#This Row],[OMSCHRIJVING]],Verwijzingsblad!$B$2:$B$186,Verwijzingsblad!$A$2:$A$186,""))</calculatedColumnFormula>
    </tableColumn>
    <tableColumn id="2" name="OMSCHRIJVING" dataDxfId="454" totalsRowDxfId="453"/>
    <tableColumn id="3" name="EENHEID" dataDxfId="452" totalsRowDxfId="451"/>
    <tableColumn id="4" name="HOEVEELHEID RESULTAATS- VERPLICHTING" totalsRowFunction="custom" dataDxfId="450" totalsRowDxfId="449">
      <totalsRowFormula>B3</totalsRowFormula>
    </tableColumn>
    <tableColumn id="5" name="PRIJS PER EENHEID IN EURO" totalsRowFunction="custom" dataDxfId="448" totalsRowDxfId="447" dataCellStyle="Valuta">
      <totalsRowFormula>A3</totalsRowFormula>
    </tableColumn>
    <tableColumn id="6" name="TOTAALBEDRAG IN EURO" totalsRowFunction="sum" dataDxfId="446" totalsRowDxfId="445" dataCellStyle="Valuta"/>
  </tableColumns>
  <tableStyleInfo name="TableStyleMedium16" showFirstColumn="0" showLastColumn="0" showRowStripes="0" showColumnStripes="0"/>
</table>
</file>

<file path=xl/tables/table32.xml><?xml version="1.0" encoding="utf-8"?>
<table xmlns="http://schemas.openxmlformats.org/spreadsheetml/2006/main" id="48" name="Tabel_Totaal_werkzaamheden250" displayName="Tabel_Totaal_werkzaamheden250" ref="A7:F79" totalsRowCount="1" headerRowDxfId="444" dataDxfId="442" totalsRowDxfId="440" headerRowBorderDxfId="443" tableBorderDxfId="441">
  <autoFilter ref="A7:F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439" totalsRowDxfId="438">
      <calculatedColumnFormula>IF(Tabel_Totaal_werkzaamheden250[[#This Row],[OMSCHRIJVING]]="","",_xlfn.XLOOKUP(Tabel_Totaal_werkzaamheden250[[#This Row],[OMSCHRIJVING]],Verwijzingsblad!$B$2:$B$186,Verwijzingsblad!$A$2:$A$186,""))</calculatedColumnFormula>
    </tableColumn>
    <tableColumn id="2" name="OMSCHRIJVING" dataDxfId="437" totalsRowDxfId="436"/>
    <tableColumn id="3" name="EENHEID" dataDxfId="435" totalsRowDxfId="434"/>
    <tableColumn id="4" name="HOEVEELHEID RESULTAATS- VERPLICHTING" totalsRowFunction="custom" dataDxfId="433" totalsRowDxfId="432">
      <totalsRowFormula>B3</totalsRowFormula>
    </tableColumn>
    <tableColumn id="5" name="PRIJS PER EENHEID IN EURO" totalsRowFunction="custom" dataDxfId="431" totalsRowDxfId="430" dataCellStyle="Valuta">
      <totalsRowFormula>A3</totalsRowFormula>
    </tableColumn>
    <tableColumn id="6" name="TOTAALBEDRAG IN EURO" totalsRowFunction="sum" dataDxfId="429" totalsRowDxfId="428" dataCellStyle="Valuta"/>
  </tableColumns>
  <tableStyleInfo name="TableStyleMedium16" showFirstColumn="0" showLastColumn="0" showRowStripes="0" showColumnStripes="0"/>
</table>
</file>

<file path=xl/tables/table33.xml><?xml version="1.0" encoding="utf-8"?>
<table xmlns="http://schemas.openxmlformats.org/spreadsheetml/2006/main" id="47" name="Tabel_Totaal_werkzaamheden249" displayName="Tabel_Totaal_werkzaamheden249" ref="A7:F88" totalsRowCount="1" headerRowDxfId="427" dataDxfId="425" totalsRowDxfId="423" headerRowBorderDxfId="426" tableBorderDxfId="424">
  <autoFilter ref="A7:F8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422" totalsRowDxfId="421">
      <calculatedColumnFormula>IF(Tabel_Totaal_werkzaamheden249[[#This Row],[OMSCHRIJVING]]="","",_xlfn.XLOOKUP(Tabel_Totaal_werkzaamheden249[[#This Row],[OMSCHRIJVING]],Verwijzingsblad!$B$2:$B$186,Verwijzingsblad!$A$2:$A$186,""))</calculatedColumnFormula>
    </tableColumn>
    <tableColumn id="2" name="OMSCHRIJVING" dataDxfId="420" totalsRowDxfId="419"/>
    <tableColumn id="3" name="EENHEID" dataDxfId="418" totalsRowDxfId="417"/>
    <tableColumn id="4" name="HOEVEELHEID RESULTAATS- VERPLICHTING" totalsRowFunction="custom" dataDxfId="416" totalsRowDxfId="415">
      <totalsRowFormula>B3</totalsRowFormula>
    </tableColumn>
    <tableColumn id="5" name="PRIJS PER EENHEID IN EURO" totalsRowFunction="custom" dataDxfId="414" totalsRowDxfId="413" dataCellStyle="Valuta">
      <totalsRowFormula>A3</totalsRowFormula>
    </tableColumn>
    <tableColumn id="6" name="TOTAALBEDRAG IN EURO" totalsRowFunction="sum" dataDxfId="412" totalsRowDxfId="411" dataCellStyle="Valuta"/>
  </tableColumns>
  <tableStyleInfo name="TableStyleMedium16" showFirstColumn="0" showLastColumn="0" showRowStripes="0" showColumnStripes="0"/>
</table>
</file>

<file path=xl/tables/table34.xml><?xml version="1.0" encoding="utf-8"?>
<table xmlns="http://schemas.openxmlformats.org/spreadsheetml/2006/main" id="46" name="Tabel_Totaal_werkzaamheden248" displayName="Tabel_Totaal_werkzaamheden248" ref="A7:F84" totalsRowCount="1" headerRowDxfId="410" dataDxfId="408" totalsRowDxfId="406" headerRowBorderDxfId="409" tableBorderDxfId="407">
  <autoFilter ref="A7:F8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405" totalsRowDxfId="404">
      <calculatedColumnFormula>IF(Tabel_Totaal_werkzaamheden248[[#This Row],[OMSCHRIJVING]]="","",_xlfn.XLOOKUP(Tabel_Totaal_werkzaamheden248[[#This Row],[OMSCHRIJVING]],Verwijzingsblad!$B$2:$B$186,Verwijzingsblad!$A$2:$A$186,""))</calculatedColumnFormula>
    </tableColumn>
    <tableColumn id="2" name="OMSCHRIJVING" dataDxfId="403" totalsRowDxfId="402"/>
    <tableColumn id="3" name="EENHEID" dataDxfId="401" totalsRowDxfId="400"/>
    <tableColumn id="4" name="HOEVEELHEID RESULTAATS- VERPLICHTING" totalsRowFunction="custom" dataDxfId="399" totalsRowDxfId="398">
      <totalsRowFormula>B3</totalsRowFormula>
    </tableColumn>
    <tableColumn id="5" name="PRIJS PER EENHEID IN EURO" totalsRowFunction="custom" dataDxfId="397" totalsRowDxfId="396" dataCellStyle="Valuta">
      <totalsRowFormula>A3</totalsRowFormula>
    </tableColumn>
    <tableColumn id="6" name="TOTAALBEDRAG IN EURO" totalsRowFunction="sum" dataDxfId="395" totalsRowDxfId="394" dataCellStyle="Valuta"/>
  </tableColumns>
  <tableStyleInfo name="TableStyleMedium16" showFirstColumn="0" showLastColumn="0" showRowStripes="0" showColumnStripes="0"/>
</table>
</file>

<file path=xl/tables/table35.xml><?xml version="1.0" encoding="utf-8"?>
<table xmlns="http://schemas.openxmlformats.org/spreadsheetml/2006/main" id="45" name="Tabel_Totaal_werkzaamheden247" displayName="Tabel_Totaal_werkzaamheden247" ref="A7:F87" totalsRowCount="1" headerRowDxfId="393" dataDxfId="391" totalsRowDxfId="389" headerRowBorderDxfId="392" tableBorderDxfId="390">
  <autoFilter ref="A7:F8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388" totalsRowDxfId="387">
      <calculatedColumnFormula>IF(Tabel_Totaal_werkzaamheden247[[#This Row],[OMSCHRIJVING]]="","",_xlfn.XLOOKUP(Tabel_Totaal_werkzaamheden247[[#This Row],[OMSCHRIJVING]],Verwijzingsblad!$B$2:$B$186,Verwijzingsblad!$A$2:$A$186,""))</calculatedColumnFormula>
    </tableColumn>
    <tableColumn id="2" name="OMSCHRIJVING" dataDxfId="386" totalsRowDxfId="385"/>
    <tableColumn id="3" name="EENHEID" dataDxfId="384" totalsRowDxfId="383"/>
    <tableColumn id="4" name="HOEVEELHEID RESULTAATS- VERPLICHTING" totalsRowFunction="custom" dataDxfId="382" totalsRowDxfId="381">
      <totalsRowFormula>B3</totalsRowFormula>
    </tableColumn>
    <tableColumn id="5" name="PRIJS PER EENHEID IN EURO" totalsRowFunction="custom" dataDxfId="380" totalsRowDxfId="379" dataCellStyle="Valuta">
      <totalsRowFormula>A3</totalsRowFormula>
    </tableColumn>
    <tableColumn id="6" name="TOTAALBEDRAG IN EURO" totalsRowFunction="sum" dataDxfId="378" totalsRowDxfId="377" dataCellStyle="Valuta"/>
  </tableColumns>
  <tableStyleInfo name="TableStyleMedium16" showFirstColumn="0" showLastColumn="0" showRowStripes="0" showColumnStripes="0"/>
</table>
</file>

<file path=xl/tables/table36.xml><?xml version="1.0" encoding="utf-8"?>
<table xmlns="http://schemas.openxmlformats.org/spreadsheetml/2006/main" id="44" name="Tabel_Totaal_werkzaamheden246" displayName="Tabel_Totaal_werkzaamheden246" ref="A7:F84" totalsRowCount="1" headerRowDxfId="376" dataDxfId="374" totalsRowDxfId="372" headerRowBorderDxfId="375" tableBorderDxfId="373">
  <autoFilter ref="A7:F8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371" totalsRowDxfId="370">
      <calculatedColumnFormula>IF(Tabel_Totaal_werkzaamheden246[[#This Row],[OMSCHRIJVING]]="","",_xlfn.XLOOKUP(Tabel_Totaal_werkzaamheden246[[#This Row],[OMSCHRIJVING]],Verwijzingsblad!$B$2:$B$186,Verwijzingsblad!$A$2:$A$186,""))</calculatedColumnFormula>
    </tableColumn>
    <tableColumn id="2" name="OMSCHRIJVING" dataDxfId="369" totalsRowDxfId="368"/>
    <tableColumn id="3" name="EENHEID" dataDxfId="367" totalsRowDxfId="366"/>
    <tableColumn id="4" name="HOEVEELHEID RESULTAATS- VERPLICHTING" totalsRowFunction="custom" dataDxfId="365" totalsRowDxfId="364">
      <totalsRowFormula>B3</totalsRowFormula>
    </tableColumn>
    <tableColumn id="5" name="PRIJS PER EENHEID IN EURO" totalsRowFunction="custom" dataDxfId="363" totalsRowDxfId="362" dataCellStyle="Valuta">
      <totalsRowFormula>A3</totalsRowFormula>
    </tableColumn>
    <tableColumn id="6" name="TOTAALBEDRAG IN EURO" totalsRowFunction="sum" dataDxfId="361" totalsRowDxfId="360" dataCellStyle="Valuta"/>
  </tableColumns>
  <tableStyleInfo name="TableStyleMedium16" showFirstColumn="0" showLastColumn="0" showRowStripes="0" showColumnStripes="0"/>
</table>
</file>

<file path=xl/tables/table37.xml><?xml version="1.0" encoding="utf-8"?>
<table xmlns="http://schemas.openxmlformats.org/spreadsheetml/2006/main" id="43" name="Tabel_Totaal_werkzaamheden245" displayName="Tabel_Totaal_werkzaamheden245" ref="A7:F82" totalsRowCount="1" headerRowDxfId="359" dataDxfId="357" totalsRowDxfId="355" headerRowBorderDxfId="358" tableBorderDxfId="356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354" totalsRowDxfId="353">
      <calculatedColumnFormula>IF(Tabel_Totaal_werkzaamheden245[[#This Row],[OMSCHRIJVING]]="","",_xlfn.XLOOKUP(Tabel_Totaal_werkzaamheden245[[#This Row],[OMSCHRIJVING]],Verwijzingsblad!$B$2:$B$186,Verwijzingsblad!$A$2:$A$186,""))</calculatedColumnFormula>
    </tableColumn>
    <tableColumn id="2" name="OMSCHRIJVING" dataDxfId="352" totalsRowDxfId="351"/>
    <tableColumn id="3" name="EENHEID" dataDxfId="350" totalsRowDxfId="349"/>
    <tableColumn id="4" name="HOEVEELHEID RESULTAATS- VERPLICHTING" totalsRowFunction="custom" dataDxfId="348" totalsRowDxfId="347">
      <totalsRowFormula>B3</totalsRowFormula>
    </tableColumn>
    <tableColumn id="5" name="PRIJS PER EENHEID IN EURO" totalsRowFunction="custom" dataDxfId="346" totalsRowDxfId="345" dataCellStyle="Valuta">
      <totalsRowFormula>A3</totalsRowFormula>
    </tableColumn>
    <tableColumn id="6" name="TOTAALBEDRAG IN EURO" totalsRowFunction="sum" dataDxfId="344" totalsRowDxfId="343" dataCellStyle="Valuta"/>
  </tableColumns>
  <tableStyleInfo name="TableStyleMedium16" showFirstColumn="0" showLastColumn="0" showRowStripes="0" showColumnStripes="0"/>
</table>
</file>

<file path=xl/tables/table38.xml><?xml version="1.0" encoding="utf-8"?>
<table xmlns="http://schemas.openxmlformats.org/spreadsheetml/2006/main" id="42" name="Tabel_Totaal_werkzaamheden244" displayName="Tabel_Totaal_werkzaamheden244" ref="A7:F79" totalsRowCount="1" headerRowDxfId="342" dataDxfId="340" totalsRowDxfId="338" headerRowBorderDxfId="341" tableBorderDxfId="339">
  <autoFilter ref="A7:F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337" totalsRowDxfId="336">
      <calculatedColumnFormula>IF(Tabel_Totaal_werkzaamheden244[[#This Row],[OMSCHRIJVING]]="","",_xlfn.XLOOKUP(Tabel_Totaal_werkzaamheden244[[#This Row],[OMSCHRIJVING]],Verwijzingsblad!$B$2:$B$186,Verwijzingsblad!$A$2:$A$186,""))</calculatedColumnFormula>
    </tableColumn>
    <tableColumn id="2" name="OMSCHRIJVING" dataDxfId="335" totalsRowDxfId="334"/>
    <tableColumn id="3" name="EENHEID" dataDxfId="333" totalsRowDxfId="332"/>
    <tableColumn id="4" name="HOEVEELHEID RESULTAATS- VERPLICHTING" totalsRowFunction="custom" dataDxfId="331" totalsRowDxfId="330">
      <totalsRowFormula>B3</totalsRowFormula>
    </tableColumn>
    <tableColumn id="5" name="PRIJS PER EENHEID IN EURO" totalsRowFunction="custom" dataDxfId="329" totalsRowDxfId="328" dataCellStyle="Valuta">
      <totalsRowFormula>A3</totalsRowFormula>
    </tableColumn>
    <tableColumn id="6" name="TOTAALBEDRAG IN EURO" totalsRowFunction="sum" dataDxfId="327" totalsRowDxfId="326" dataCellStyle="Valuta"/>
  </tableColumns>
  <tableStyleInfo name="TableStyleMedium16" showFirstColumn="0" showLastColumn="0" showRowStripes="0" showColumnStripes="0"/>
</table>
</file>

<file path=xl/tables/table39.xml><?xml version="1.0" encoding="utf-8"?>
<table xmlns="http://schemas.openxmlformats.org/spreadsheetml/2006/main" id="41" name="Tabel_Totaal_werkzaamheden243" displayName="Tabel_Totaal_werkzaamheden243" ref="A7:F79" totalsRowCount="1" headerRowDxfId="325" dataDxfId="323" totalsRowDxfId="321" headerRowBorderDxfId="324" tableBorderDxfId="322">
  <autoFilter ref="A7:F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320" totalsRowDxfId="319">
      <calculatedColumnFormula>IF(Tabel_Totaal_werkzaamheden243[[#This Row],[OMSCHRIJVING]]="","",_xlfn.XLOOKUP(Tabel_Totaal_werkzaamheden243[[#This Row],[OMSCHRIJVING]],Verwijzingsblad!$B$2:$B$186,Verwijzingsblad!$A$2:$A$186,""))</calculatedColumnFormula>
    </tableColumn>
    <tableColumn id="2" name="OMSCHRIJVING" dataDxfId="318" totalsRowDxfId="317"/>
    <tableColumn id="3" name="EENHEID" dataDxfId="316" totalsRowDxfId="315"/>
    <tableColumn id="4" name="HOEVEELHEID RESULTAATS- VERPLICHTING" totalsRowFunction="custom" dataDxfId="314" totalsRowDxfId="313">
      <totalsRowFormula>B3</totalsRowFormula>
    </tableColumn>
    <tableColumn id="5" name="PRIJS PER EENHEID IN EURO" totalsRowFunction="custom" dataDxfId="312" totalsRowDxfId="311" dataCellStyle="Valuta">
      <totalsRowFormula>A3</totalsRowFormula>
    </tableColumn>
    <tableColumn id="6" name="TOTAALBEDRAG IN EURO" totalsRowFunction="sum" dataDxfId="310" totalsRowDxfId="309" dataCellStyle="Valuta"/>
  </tableColumns>
  <tableStyleInfo name="TableStyleMedium16" showFirstColumn="0" showLastColumn="0" showRowStripes="0" showColumnStripes="0"/>
</table>
</file>

<file path=xl/tables/table4.xml><?xml version="1.0" encoding="utf-8"?>
<table xmlns="http://schemas.openxmlformats.org/spreadsheetml/2006/main" id="5" name="Tabel_Totaal_werkzaamheden26" displayName="Tabel_Totaal_werkzaamheden26" ref="A7:F85" totalsRowCount="1" headerRowDxfId="921" dataDxfId="919" totalsRowDxfId="917" headerRowBorderDxfId="920" tableBorderDxfId="918" totalsRowBorderDxfId="916">
  <autoFilter ref="A7:F8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915" totalsRowDxfId="914">
      <calculatedColumnFormula>IF(Tabel_Totaal_werkzaamheden26[[#This Row],[OMSCHRIJVING]]="","",_xlfn.IFNA(VLOOKUP(Tabel_Totaal_werkzaamheden26[[#This Row],[OMSCHRIJVING]],Verwijzingsblad!$B$2:$C$186,3,FALSE),""))</calculatedColumnFormula>
    </tableColumn>
    <tableColumn id="2" name="OMSCHRIJVING" dataDxfId="913" totalsRowDxfId="912"/>
    <tableColumn id="3" name="EENHEID" dataDxfId="911" totalsRowDxfId="910"/>
    <tableColumn id="4" name="HOEVEELHEID RESULTAATS- VERPLICHTING" totalsRowFunction="custom" dataDxfId="909" totalsRowDxfId="908">
      <totalsRowFormula>B3</totalsRowFormula>
    </tableColumn>
    <tableColumn id="5" name="PRIJS PER EENHEID IN EURO" totalsRowFunction="custom" dataDxfId="907" totalsRowDxfId="906" dataCellStyle="Valuta">
      <totalsRowFormula>A3</totalsRowFormula>
    </tableColumn>
    <tableColumn id="6" name="TOTAALBEDRAG IN EURO" totalsRowFunction="sum" dataDxfId="905" totalsRowDxfId="904" dataCellStyle="Valuta"/>
  </tableColumns>
  <tableStyleInfo name="TableStyleMedium16" showFirstColumn="0" showLastColumn="0" showRowStripes="0" showColumnStripes="0"/>
</table>
</file>

<file path=xl/tables/table40.xml><?xml version="1.0" encoding="utf-8"?>
<table xmlns="http://schemas.openxmlformats.org/spreadsheetml/2006/main" id="40" name="Tabel_Totaal_werkzaamheden242" displayName="Tabel_Totaal_werkzaamheden242" ref="A7:F83" totalsRowCount="1" headerRowDxfId="308" dataDxfId="306" totalsRowDxfId="304" headerRowBorderDxfId="307" tableBorderDxfId="305">
  <autoFilter ref="A7:F8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303" totalsRowDxfId="302">
      <calculatedColumnFormula>IF(Tabel_Totaal_werkzaamheden242[[#This Row],[OMSCHRIJVING]]="","",_xlfn.XLOOKUP(Tabel_Totaal_werkzaamheden242[[#This Row],[OMSCHRIJVING]],Verwijzingsblad!$B$2:$B$186,Verwijzingsblad!$A$2:$A$186,""))</calculatedColumnFormula>
    </tableColumn>
    <tableColumn id="2" name="OMSCHRIJVING" dataDxfId="301" totalsRowDxfId="300"/>
    <tableColumn id="3" name="EENHEID" dataDxfId="299" totalsRowDxfId="298"/>
    <tableColumn id="4" name="HOEVEELHEID RESULTAATS- VERPLICHTING" totalsRowFunction="custom" dataDxfId="297" totalsRowDxfId="296">
      <totalsRowFormula>B3</totalsRowFormula>
    </tableColumn>
    <tableColumn id="5" name="PRIJS PER EENHEID IN EURO" totalsRowFunction="custom" dataDxfId="295" totalsRowDxfId="294" dataCellStyle="Valuta">
      <totalsRowFormula>A3</totalsRowFormula>
    </tableColumn>
    <tableColumn id="6" name="TOTAALBEDRAG IN EURO" totalsRowFunction="sum" dataDxfId="293" totalsRowDxfId="292" dataCellStyle="Valuta"/>
  </tableColumns>
  <tableStyleInfo name="TableStyleMedium16" showFirstColumn="0" showLastColumn="0" showRowStripes="0" showColumnStripes="0"/>
</table>
</file>

<file path=xl/tables/table41.xml><?xml version="1.0" encoding="utf-8"?>
<table xmlns="http://schemas.openxmlformats.org/spreadsheetml/2006/main" id="39" name="Tabel_Totaal_werkzaamheden241" displayName="Tabel_Totaal_werkzaamheden241" ref="A7:F83" totalsRowCount="1" headerRowDxfId="291" dataDxfId="289" totalsRowDxfId="287" headerRowBorderDxfId="290" tableBorderDxfId="288">
  <autoFilter ref="A7:F8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286" totalsRowDxfId="285">
      <calculatedColumnFormula>IF(Tabel_Totaal_werkzaamheden241[[#This Row],[OMSCHRIJVING]]="","",_xlfn.XLOOKUP(Tabel_Totaal_werkzaamheden241[[#This Row],[OMSCHRIJVING]],Verwijzingsblad!$B$2:$B$186,Verwijzingsblad!$A$2:$A$186,""))</calculatedColumnFormula>
    </tableColumn>
    <tableColumn id="2" name="OMSCHRIJVING" dataDxfId="284" totalsRowDxfId="283"/>
    <tableColumn id="3" name="EENHEID" dataDxfId="282" totalsRowDxfId="281"/>
    <tableColumn id="4" name="HOEVEELHEID RESULTAATS- VERPLICHTING" totalsRowFunction="custom" dataDxfId="280" totalsRowDxfId="279">
      <totalsRowFormula>B3</totalsRowFormula>
    </tableColumn>
    <tableColumn id="5" name="PRIJS PER EENHEID IN EURO" totalsRowFunction="custom" dataDxfId="278" totalsRowDxfId="277" dataCellStyle="Valuta">
      <totalsRowFormula>A3</totalsRowFormula>
    </tableColumn>
    <tableColumn id="6" name="TOTAALBEDRAG IN EURO" totalsRowFunction="sum" dataDxfId="276" totalsRowDxfId="275" dataCellStyle="Valuta"/>
  </tableColumns>
  <tableStyleInfo name="TableStyleMedium16" showFirstColumn="0" showLastColumn="0" showRowStripes="0" showColumnStripes="0"/>
</table>
</file>

<file path=xl/tables/table42.xml><?xml version="1.0" encoding="utf-8"?>
<table xmlns="http://schemas.openxmlformats.org/spreadsheetml/2006/main" id="38" name="Tabel_Totaal_werkzaamheden240" displayName="Tabel_Totaal_werkzaamheden240" ref="A7:F86" totalsRowCount="1" headerRowDxfId="274" dataDxfId="272" totalsRowDxfId="270" headerRowBorderDxfId="273" tableBorderDxfId="271">
  <autoFilter ref="A7:F8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269" totalsRowDxfId="268">
      <calculatedColumnFormula>IF(Tabel_Totaal_werkzaamheden240[[#This Row],[OMSCHRIJVING]]="","",_xlfn.XLOOKUP(Tabel_Totaal_werkzaamheden240[[#This Row],[OMSCHRIJVING]],Verwijzingsblad!$B$2:$B$186,Verwijzingsblad!$A$2:$A$186,""))</calculatedColumnFormula>
    </tableColumn>
    <tableColumn id="2" name="OMSCHRIJVING" dataDxfId="267" totalsRowDxfId="266"/>
    <tableColumn id="3" name="EENHEID" dataDxfId="265" totalsRowDxfId="264"/>
    <tableColumn id="4" name="HOEVEELHEID RESULTAATS- VERPLICHTING" totalsRowFunction="custom" dataDxfId="263" totalsRowDxfId="262">
      <totalsRowFormula>B3</totalsRowFormula>
    </tableColumn>
    <tableColumn id="5" name="PRIJS PER EENHEID IN EURO" totalsRowFunction="custom" dataDxfId="261" totalsRowDxfId="260" dataCellStyle="Valuta">
      <totalsRowFormula>A3</totalsRowFormula>
    </tableColumn>
    <tableColumn id="6" name="TOTAALBEDRAG IN EURO" totalsRowFunction="sum" dataDxfId="259" totalsRowDxfId="258" dataCellStyle="Valuta"/>
  </tableColumns>
  <tableStyleInfo name="TableStyleMedium16" showFirstColumn="0" showLastColumn="0" showRowStripes="0" showColumnStripes="0"/>
</table>
</file>

<file path=xl/tables/table43.xml><?xml version="1.0" encoding="utf-8"?>
<table xmlns="http://schemas.openxmlformats.org/spreadsheetml/2006/main" id="37" name="Tabel_Totaal_werkzaamheden239" displayName="Tabel_Totaal_werkzaamheden239" ref="A7:F82" totalsRowCount="1" headerRowDxfId="257" dataDxfId="255" totalsRowDxfId="253" headerRowBorderDxfId="256" tableBorderDxfId="254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252" totalsRowDxfId="251">
      <calculatedColumnFormula>IF(Tabel_Totaal_werkzaamheden239[[#This Row],[OMSCHRIJVING]]="","",_xlfn.XLOOKUP(Tabel_Totaal_werkzaamheden239[[#This Row],[OMSCHRIJVING]],Verwijzingsblad!$B$2:$B$186,Verwijzingsblad!$A$2:$A$186,""))</calculatedColumnFormula>
    </tableColumn>
    <tableColumn id="2" name="OMSCHRIJVING" dataDxfId="250" totalsRowDxfId="249"/>
    <tableColumn id="3" name="EENHEID" dataDxfId="248" totalsRowDxfId="247"/>
    <tableColumn id="4" name="HOEVEELHEID RESULTAATS- VERPLICHTING" totalsRowFunction="custom" dataDxfId="246" totalsRowDxfId="245">
      <totalsRowFormula>B3</totalsRowFormula>
    </tableColumn>
    <tableColumn id="5" name="PRIJS PER EENHEID IN EURO" totalsRowFunction="custom" dataDxfId="244" totalsRowDxfId="243" dataCellStyle="Valuta">
      <totalsRowFormula>A3</totalsRowFormula>
    </tableColumn>
    <tableColumn id="6" name="TOTAALBEDRAG IN EURO" totalsRowFunction="sum" dataDxfId="242" totalsRowDxfId="241" dataCellStyle="Valuta"/>
  </tableColumns>
  <tableStyleInfo name="TableStyleMedium16" showFirstColumn="0" showLastColumn="0" showRowStripes="0" showColumnStripes="0"/>
</table>
</file>

<file path=xl/tables/table44.xml><?xml version="1.0" encoding="utf-8"?>
<table xmlns="http://schemas.openxmlformats.org/spreadsheetml/2006/main" id="36" name="Tabel_Totaal_werkzaamheden238" displayName="Tabel_Totaal_werkzaamheden238" ref="A7:F82" totalsRowCount="1" headerRowDxfId="240" dataDxfId="238" totalsRowDxfId="236" headerRowBorderDxfId="239" tableBorderDxfId="237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235" totalsRowDxfId="234">
      <calculatedColumnFormula>IF(Tabel_Totaal_werkzaamheden238[[#This Row],[OMSCHRIJVING]]="","",_xlfn.XLOOKUP(Tabel_Totaal_werkzaamheden238[[#This Row],[OMSCHRIJVING]],Verwijzingsblad!$B$2:$B$186,Verwijzingsblad!$A$2:$A$186,""))</calculatedColumnFormula>
    </tableColumn>
    <tableColumn id="2" name="OMSCHRIJVING" dataDxfId="233" totalsRowDxfId="232"/>
    <tableColumn id="3" name="EENHEID" dataDxfId="231" totalsRowDxfId="230"/>
    <tableColumn id="4" name="HOEVEELHEID RESULTAATS- VERPLICHTING" totalsRowFunction="custom" dataDxfId="229" totalsRowDxfId="228">
      <totalsRowFormula>B3</totalsRowFormula>
    </tableColumn>
    <tableColumn id="5" name="PRIJS PER EENHEID IN EURO" totalsRowFunction="custom" dataDxfId="227" totalsRowDxfId="226" dataCellStyle="Valuta">
      <totalsRowFormula>A3</totalsRowFormula>
    </tableColumn>
    <tableColumn id="6" name="TOTAALBEDRAG IN EURO" totalsRowFunction="sum" dataDxfId="225" totalsRowDxfId="224" dataCellStyle="Valuta"/>
  </tableColumns>
  <tableStyleInfo name="TableStyleMedium16" showFirstColumn="0" showLastColumn="0" showRowStripes="0" showColumnStripes="0"/>
</table>
</file>

<file path=xl/tables/table45.xml><?xml version="1.0" encoding="utf-8"?>
<table xmlns="http://schemas.openxmlformats.org/spreadsheetml/2006/main" id="35" name="Tabel_Totaal_werkzaamheden237" displayName="Tabel_Totaal_werkzaamheden237" ref="A7:F87" totalsRowCount="1" headerRowDxfId="223" dataDxfId="221" totalsRowDxfId="219" headerRowBorderDxfId="222" tableBorderDxfId="220">
  <autoFilter ref="A7:F8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218" totalsRowDxfId="217">
      <calculatedColumnFormula>IF(Tabel_Totaal_werkzaamheden237[[#This Row],[OMSCHRIJVING]]="","",_xlfn.XLOOKUP(Tabel_Totaal_werkzaamheden237[[#This Row],[OMSCHRIJVING]],Verwijzingsblad!$B$2:$B$186,Verwijzingsblad!$A$2:$A$186,""))</calculatedColumnFormula>
    </tableColumn>
    <tableColumn id="2" name="OMSCHRIJVING" dataDxfId="216" totalsRowDxfId="215"/>
    <tableColumn id="3" name="EENHEID" dataDxfId="214" totalsRowDxfId="213"/>
    <tableColumn id="4" name="HOEVEELHEID RESULTAATS- VERPLICHTING" totalsRowFunction="custom" dataDxfId="212" totalsRowDxfId="211">
      <totalsRowFormula>B3</totalsRowFormula>
    </tableColumn>
    <tableColumn id="5" name="PRIJS PER EENHEID IN EURO" totalsRowFunction="custom" dataDxfId="210" totalsRowDxfId="209" dataCellStyle="Valuta">
      <totalsRowFormula>A3</totalsRowFormula>
    </tableColumn>
    <tableColumn id="6" name="TOTAALBEDRAG IN EURO" totalsRowFunction="sum" dataDxfId="208" totalsRowDxfId="207" dataCellStyle="Valuta"/>
  </tableColumns>
  <tableStyleInfo name="TableStyleMedium16" showFirstColumn="0" showLastColumn="0" showRowStripes="0" showColumnStripes="0"/>
</table>
</file>

<file path=xl/tables/table46.xml><?xml version="1.0" encoding="utf-8"?>
<table xmlns="http://schemas.openxmlformats.org/spreadsheetml/2006/main" id="34" name="Tabel_Totaal_werkzaamheden236" displayName="Tabel_Totaal_werkzaamheden236" ref="A7:F84" totalsRowCount="1" headerRowDxfId="206" dataDxfId="204" totalsRowDxfId="202" headerRowBorderDxfId="205" tableBorderDxfId="203">
  <autoFilter ref="A7:F8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201" totalsRowDxfId="200">
      <calculatedColumnFormula>IF(Tabel_Totaal_werkzaamheden236[[#This Row],[OMSCHRIJVING]]="","",_xlfn.XLOOKUP(Tabel_Totaal_werkzaamheden236[[#This Row],[OMSCHRIJVING]],Verwijzingsblad!$B$2:$B$186,Verwijzingsblad!$A$2:$A$186,""))</calculatedColumnFormula>
    </tableColumn>
    <tableColumn id="2" name="OMSCHRIJVING" dataDxfId="199" totalsRowDxfId="198"/>
    <tableColumn id="3" name="EENHEID" dataDxfId="197" totalsRowDxfId="196"/>
    <tableColumn id="4" name="HOEVEELHEID RESULTAATS- VERPLICHTING" totalsRowFunction="custom" dataDxfId="195" totalsRowDxfId="194">
      <totalsRowFormula>B3</totalsRowFormula>
    </tableColumn>
    <tableColumn id="5" name="PRIJS PER EENHEID IN EURO" totalsRowFunction="custom" dataDxfId="193" totalsRowDxfId="192" dataCellStyle="Valuta">
      <totalsRowFormula>A3</totalsRowFormula>
    </tableColumn>
    <tableColumn id="6" name="TOTAALBEDRAG IN EURO" totalsRowFunction="sum" dataDxfId="191" totalsRowDxfId="190" dataCellStyle="Valuta"/>
  </tableColumns>
  <tableStyleInfo name="TableStyleMedium16" showFirstColumn="0" showLastColumn="0" showRowStripes="0" showColumnStripes="0"/>
</table>
</file>

<file path=xl/tables/table47.xml><?xml version="1.0" encoding="utf-8"?>
<table xmlns="http://schemas.openxmlformats.org/spreadsheetml/2006/main" id="33" name="Tabel_Totaal_werkzaamheden234" displayName="Tabel_Totaal_werkzaamheden234" ref="A7:F82" totalsRowCount="1" headerRowDxfId="189" dataDxfId="187" totalsRowDxfId="185" headerRowBorderDxfId="188" tableBorderDxfId="186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184" totalsRowDxfId="183">
      <calculatedColumnFormula>IF(Tabel_Totaal_werkzaamheden234[[#This Row],[OMSCHRIJVING]]="","",_xlfn.XLOOKUP(Tabel_Totaal_werkzaamheden234[[#This Row],[OMSCHRIJVING]],Verwijzingsblad!$B$2:$B$186,Verwijzingsblad!$A$2:$A$186,""))</calculatedColumnFormula>
    </tableColumn>
    <tableColumn id="2" name="OMSCHRIJVING" dataDxfId="182" totalsRowDxfId="181"/>
    <tableColumn id="3" name="EENHEID" dataDxfId="180" totalsRowDxfId="179"/>
    <tableColumn id="4" name="HOEVEELHEID RESULTAATS- VERPLICHTING" totalsRowFunction="custom" dataDxfId="178" totalsRowDxfId="177">
      <totalsRowFormula>B3</totalsRowFormula>
    </tableColumn>
    <tableColumn id="5" name="PRIJS PER EENHEID IN EURO" totalsRowFunction="custom" dataDxfId="176" totalsRowDxfId="175" dataCellStyle="Valuta">
      <totalsRowFormula>A3</totalsRowFormula>
    </tableColumn>
    <tableColumn id="6" name="TOTAALBEDRAG IN EURO" totalsRowFunction="sum" dataDxfId="174" totalsRowDxfId="173" dataCellStyle="Valuta"/>
  </tableColumns>
  <tableStyleInfo name="TableStyleMedium16" showFirstColumn="0" showLastColumn="0" showRowStripes="0" showColumnStripes="0"/>
</table>
</file>

<file path=xl/tables/table48.xml><?xml version="1.0" encoding="utf-8"?>
<table xmlns="http://schemas.openxmlformats.org/spreadsheetml/2006/main" id="32" name="Tabel_Totaal_werkzaamheden233" displayName="Tabel_Totaal_werkzaamheden233" ref="A7:F85" totalsRowCount="1" headerRowDxfId="172" dataDxfId="170" totalsRowDxfId="168" headerRowBorderDxfId="171" tableBorderDxfId="169">
  <autoFilter ref="A7:F8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167" totalsRowDxfId="166">
      <calculatedColumnFormula>IF(Tabel_Totaal_werkzaamheden233[[#This Row],[OMSCHRIJVING]]="","",_xlfn.XLOOKUP(Tabel_Totaal_werkzaamheden233[[#This Row],[OMSCHRIJVING]],Verwijzingsblad!$B$2:$B$186,Verwijzingsblad!$A$2:$A$186,""))</calculatedColumnFormula>
    </tableColumn>
    <tableColumn id="2" name="OMSCHRIJVING" dataDxfId="165" totalsRowDxfId="164"/>
    <tableColumn id="3" name="EENHEID" dataDxfId="163" totalsRowDxfId="162"/>
    <tableColumn id="4" name="HOEVEELHEID RESULTAATS- VERPLICHTING" totalsRowFunction="custom" dataDxfId="161" totalsRowDxfId="160">
      <totalsRowFormula>B3</totalsRowFormula>
    </tableColumn>
    <tableColumn id="5" name="PRIJS PER EENHEID IN EURO" totalsRowFunction="custom" dataDxfId="159" totalsRowDxfId="158" dataCellStyle="Valuta">
      <totalsRowFormula>A3</totalsRowFormula>
    </tableColumn>
    <tableColumn id="6" name="TOTAALBEDRAG IN EURO" totalsRowFunction="sum" dataDxfId="157" totalsRowDxfId="156" dataCellStyle="Valuta"/>
  </tableColumns>
  <tableStyleInfo name="TableStyleMedium16" showFirstColumn="0" showLastColumn="0" showRowStripes="0" showColumnStripes="0"/>
</table>
</file>

<file path=xl/tables/table49.xml><?xml version="1.0" encoding="utf-8"?>
<table xmlns="http://schemas.openxmlformats.org/spreadsheetml/2006/main" id="31" name="Tabel_Totaal_werkzaamheden232" displayName="Tabel_Totaal_werkzaamheden232" ref="A7:F82" totalsRowCount="1" headerRowDxfId="155" dataDxfId="153" totalsRowDxfId="151" headerRowBorderDxfId="154" tableBorderDxfId="152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150" totalsRowDxfId="149">
      <calculatedColumnFormula>IF(Tabel_Totaal_werkzaamheden232[[#This Row],[OMSCHRIJVING]]="","",_xlfn.XLOOKUP(Tabel_Totaal_werkzaamheden232[[#This Row],[OMSCHRIJVING]],Verwijzingsblad!$B$2:$B$186,Verwijzingsblad!$A$2:$A$186,""))</calculatedColumnFormula>
    </tableColumn>
    <tableColumn id="2" name="OMSCHRIJVING" dataDxfId="148" totalsRowDxfId="147"/>
    <tableColumn id="3" name="EENHEID" dataDxfId="146" totalsRowDxfId="145"/>
    <tableColumn id="4" name="HOEVEELHEID RESULTAATS- VERPLICHTING" totalsRowFunction="custom" dataDxfId="144" totalsRowDxfId="143">
      <totalsRowFormula>B3</totalsRowFormula>
    </tableColumn>
    <tableColumn id="5" name="PRIJS PER EENHEID IN EURO" totalsRowFunction="custom" dataDxfId="142" totalsRowDxfId="141" dataCellStyle="Valuta">
      <totalsRowFormula>A3</totalsRowFormula>
    </tableColumn>
    <tableColumn id="6" name="TOTAALBEDRAG IN EURO" totalsRowFunction="sum" dataDxfId="140" totalsRowDxfId="139" dataCellStyle="Valuta"/>
  </tableColumns>
  <tableStyleInfo name="TableStyleMedium16" showFirstColumn="0" showLastColumn="0" showRowStripes="0" showColumnStripes="0"/>
</table>
</file>

<file path=xl/tables/table5.xml><?xml version="1.0" encoding="utf-8"?>
<table xmlns="http://schemas.openxmlformats.org/spreadsheetml/2006/main" id="6" name="Tabel_Totaal_werkzaamheden267" displayName="Tabel_Totaal_werkzaamheden267" ref="A7:F79" totalsRowCount="1" headerRowDxfId="903" dataDxfId="901" totalsRowDxfId="899" headerRowBorderDxfId="902" tableBorderDxfId="900">
  <autoFilter ref="A7:F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898" totalsRowDxfId="897">
      <calculatedColumnFormula>IF(Tabel_Totaal_werkzaamheden267[[#This Row],[OMSCHRIJVING]]="","",_xlfn.IFNA(VLOOKUP(Tabel_Totaal_werkzaamheden267[[#This Row],[OMSCHRIJVING]],Verwijzingsblad!$B$2:$C$186,3,FALSE),""))</calculatedColumnFormula>
    </tableColumn>
    <tableColumn id="2" name="OMSCHRIJVING" dataDxfId="896" totalsRowDxfId="895"/>
    <tableColumn id="3" name="EENHEID" dataDxfId="894" totalsRowDxfId="893"/>
    <tableColumn id="4" name="HOEVEELHEID RESULTAATS- VERPLICHTING" totalsRowFunction="custom" dataDxfId="892" totalsRowDxfId="891">
      <totalsRowFormula>B3</totalsRowFormula>
    </tableColumn>
    <tableColumn id="5" name="PRIJS PER EENHEID IN EURO" totalsRowFunction="custom" dataDxfId="890" totalsRowDxfId="889" dataCellStyle="Valuta">
      <totalsRowFormula>A3</totalsRowFormula>
    </tableColumn>
    <tableColumn id="6" name="TOTAALBEDRAG IN EURO" totalsRowFunction="sum" dataDxfId="888" totalsRowDxfId="887" dataCellStyle="Valuta"/>
  </tableColumns>
  <tableStyleInfo name="TableStyleMedium16" showFirstColumn="0" showLastColumn="0" showRowStripes="0" showColumnStripes="0"/>
</table>
</file>

<file path=xl/tables/table50.xml><?xml version="1.0" encoding="utf-8"?>
<table xmlns="http://schemas.openxmlformats.org/spreadsheetml/2006/main" id="30" name="Tabel_Totaal_werkzaamheden231" displayName="Tabel_Totaal_werkzaamheden231" ref="A7:F86" totalsRowCount="1" headerRowDxfId="138" dataDxfId="136" totalsRowDxfId="134" headerRowBorderDxfId="137" tableBorderDxfId="135">
  <autoFilter ref="A7:F8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133" totalsRowDxfId="132">
      <calculatedColumnFormula>IF(Tabel_Totaal_werkzaamheden231[[#This Row],[OMSCHRIJVING]]="","",_xlfn.XLOOKUP(Tabel_Totaal_werkzaamheden231[[#This Row],[OMSCHRIJVING]],Verwijzingsblad!$B$2:$B$186,Verwijzingsblad!$A$2:$A$186,""))</calculatedColumnFormula>
    </tableColumn>
    <tableColumn id="2" name="OMSCHRIJVING" dataDxfId="131" totalsRowDxfId="130"/>
    <tableColumn id="3" name="EENHEID" dataDxfId="129" totalsRowDxfId="128"/>
    <tableColumn id="4" name="HOEVEELHEID RESULTAATS- VERPLICHTING" totalsRowFunction="custom" dataDxfId="127" totalsRowDxfId="126">
      <totalsRowFormula>B3</totalsRowFormula>
    </tableColumn>
    <tableColumn id="5" name="PRIJS PER EENHEID IN EURO" totalsRowFunction="custom" dataDxfId="125" totalsRowDxfId="124" dataCellStyle="Valuta">
      <totalsRowFormula>A3</totalsRowFormula>
    </tableColumn>
    <tableColumn id="6" name="TOTAALBEDRAG IN EURO" totalsRowFunction="sum" dataDxfId="123" totalsRowDxfId="122" dataCellStyle="Valuta"/>
  </tableColumns>
  <tableStyleInfo name="TableStyleMedium16" showFirstColumn="0" showLastColumn="0" showRowStripes="0" showColumnStripes="0"/>
</table>
</file>

<file path=xl/tables/table51.xml><?xml version="1.0" encoding="utf-8"?>
<table xmlns="http://schemas.openxmlformats.org/spreadsheetml/2006/main" id="29" name="Tabel_Totaal_werkzaamheden230" displayName="Tabel_Totaal_werkzaamheden230" ref="A7:F88" totalsRowCount="1" headerRowDxfId="121" dataDxfId="119" totalsRowDxfId="117" headerRowBorderDxfId="120" tableBorderDxfId="118">
  <autoFilter ref="A7:F8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116" totalsRowDxfId="115">
      <calculatedColumnFormula>IF(Tabel_Totaal_werkzaamheden230[[#This Row],[OMSCHRIJVING]]="","",_xlfn.XLOOKUP(Tabel_Totaal_werkzaamheden230[[#This Row],[OMSCHRIJVING]],Verwijzingsblad!$B$2:$B$186,Verwijzingsblad!$A$2:$A$186,""))</calculatedColumnFormula>
    </tableColumn>
    <tableColumn id="2" name="OMSCHRIJVING" dataDxfId="114" totalsRowDxfId="113"/>
    <tableColumn id="3" name="EENHEID" dataDxfId="112" totalsRowDxfId="111"/>
    <tableColumn id="4" name="HOEVEELHEID RESULTAATS- VERPLICHTING" totalsRowFunction="custom" dataDxfId="110" totalsRowDxfId="109">
      <totalsRowFormula>B3</totalsRowFormula>
    </tableColumn>
    <tableColumn id="5" name="PRIJS PER EENHEID IN EURO" totalsRowFunction="custom" dataDxfId="108" totalsRowDxfId="107" dataCellStyle="Valuta">
      <totalsRowFormula>A3</totalsRowFormula>
    </tableColumn>
    <tableColumn id="6" name="TOTAALBEDRAG IN EURO" totalsRowFunction="sum" dataDxfId="106" totalsRowDxfId="105" dataCellStyle="Valuta"/>
  </tableColumns>
  <tableStyleInfo name="TableStyleMedium16" showFirstColumn="0" showLastColumn="0" showRowStripes="0" showColumnStripes="0"/>
</table>
</file>

<file path=xl/tables/table52.xml><?xml version="1.0" encoding="utf-8"?>
<table xmlns="http://schemas.openxmlformats.org/spreadsheetml/2006/main" id="28" name="Tabel_Totaal_werkzaamheden229" displayName="Tabel_Totaal_werkzaamheden229" ref="A7:F87" totalsRowCount="1" headerRowDxfId="104" dataDxfId="102" totalsRowDxfId="100" headerRowBorderDxfId="103" tableBorderDxfId="101">
  <autoFilter ref="A7:F8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99" totalsRowDxfId="98">
      <calculatedColumnFormula>IF(Tabel_Totaal_werkzaamheden229[[#This Row],[OMSCHRIJVING]]="","",_xlfn.XLOOKUP(Tabel_Totaal_werkzaamheden229[[#This Row],[OMSCHRIJVING]],Verwijzingsblad!$B$2:$B$186,Verwijzingsblad!$A$2:$A$186,""))</calculatedColumnFormula>
    </tableColumn>
    <tableColumn id="2" name="OMSCHRIJVING" dataDxfId="97" totalsRowDxfId="96"/>
    <tableColumn id="3" name="EENHEID" dataDxfId="95" totalsRowDxfId="94"/>
    <tableColumn id="4" name="HOEVEELHEID RESULTAATS- VERPLICHTING" totalsRowFunction="custom" dataDxfId="93" totalsRowDxfId="92">
      <totalsRowFormula>B3</totalsRowFormula>
    </tableColumn>
    <tableColumn id="5" name="PRIJS PER EENHEID IN EURO" totalsRowFunction="custom" dataDxfId="91" totalsRowDxfId="90" dataCellStyle="Valuta">
      <totalsRowFormula>A3</totalsRowFormula>
    </tableColumn>
    <tableColumn id="6" name="TOTAALBEDRAG IN EURO" totalsRowFunction="sum" dataDxfId="89" totalsRowDxfId="88" dataCellStyle="Valuta"/>
  </tableColumns>
  <tableStyleInfo name="TableStyleMedium16" showFirstColumn="0" showLastColumn="0" showRowStripes="0" showColumnStripes="0"/>
</table>
</file>

<file path=xl/tables/table53.xml><?xml version="1.0" encoding="utf-8"?>
<table xmlns="http://schemas.openxmlformats.org/spreadsheetml/2006/main" id="27" name="Tabel_Totaal_werkzaamheden228" displayName="Tabel_Totaal_werkzaamheden228" ref="A7:F87" totalsRowCount="1" headerRowDxfId="87" dataDxfId="85" totalsRowDxfId="83" headerRowBorderDxfId="86" tableBorderDxfId="84">
  <autoFilter ref="A7:F8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82" totalsRowDxfId="81">
      <calculatedColumnFormula>IF(Tabel_Totaal_werkzaamheden228[[#This Row],[OMSCHRIJVING]]="","",_xlfn.XLOOKUP(Tabel_Totaal_werkzaamheden228[[#This Row],[OMSCHRIJVING]],Verwijzingsblad!$B$2:$B$186,Verwijzingsblad!$A$2:$A$186,""))</calculatedColumnFormula>
    </tableColumn>
    <tableColumn id="2" name="OMSCHRIJVING" dataDxfId="80" totalsRowDxfId="79"/>
    <tableColumn id="3" name="EENHEID" dataDxfId="78" totalsRowDxfId="77"/>
    <tableColumn id="4" name="HOEVEELHEID RESULTAATS- VERPLICHTING" totalsRowFunction="custom" dataDxfId="76" totalsRowDxfId="75">
      <totalsRowFormula>B3</totalsRowFormula>
    </tableColumn>
    <tableColumn id="5" name="PRIJS PER EENHEID IN EURO" totalsRowFunction="custom" dataDxfId="74" totalsRowDxfId="73" dataCellStyle="Valuta">
      <totalsRowFormula>A3</totalsRowFormula>
    </tableColumn>
    <tableColumn id="6" name="TOTAALBEDRAG IN EURO" totalsRowFunction="sum" dataDxfId="72" totalsRowDxfId="71" dataCellStyle="Valuta"/>
  </tableColumns>
  <tableStyleInfo name="TableStyleMedium16" showFirstColumn="0" showLastColumn="0" showRowStripes="0" showColumnStripes="0"/>
</table>
</file>

<file path=xl/tables/table54.xml><?xml version="1.0" encoding="utf-8"?>
<table xmlns="http://schemas.openxmlformats.org/spreadsheetml/2006/main" id="26" name="Tabel_Totaal_werkzaamheden227" displayName="Tabel_Totaal_werkzaamheden227" ref="A7:F87" totalsRowCount="1" headerRowDxfId="70" dataDxfId="68" totalsRowDxfId="66" headerRowBorderDxfId="69" tableBorderDxfId="67">
  <autoFilter ref="A7:F8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65" totalsRowDxfId="64">
      <calculatedColumnFormula>IF(Tabel_Totaal_werkzaamheden227[[#This Row],[OMSCHRIJVING]]="","",_xlfn.XLOOKUP(Tabel_Totaal_werkzaamheden227[[#This Row],[OMSCHRIJVING]],Verwijzingsblad!$B$2:$B$186,Verwijzingsblad!$A$2:$A$186,""))</calculatedColumnFormula>
    </tableColumn>
    <tableColumn id="2" name="OMSCHRIJVING" dataDxfId="63" totalsRowDxfId="62"/>
    <tableColumn id="3" name="EENHEID" dataDxfId="61" totalsRowDxfId="60"/>
    <tableColumn id="4" name="HOEVEELHEID RESULTAATS- VERPLICHTING" totalsRowFunction="custom" dataDxfId="59" totalsRowDxfId="58">
      <totalsRowFormula>B3</totalsRowFormula>
    </tableColumn>
    <tableColumn id="5" name="PRIJS PER EENHEID IN EURO" totalsRowFunction="custom" dataDxfId="57" totalsRowDxfId="56" dataCellStyle="Valuta">
      <totalsRowFormula>A3</totalsRowFormula>
    </tableColumn>
    <tableColumn id="6" name="TOTAALBEDRAG IN EURO" totalsRowFunction="sum" dataDxfId="55" totalsRowDxfId="54" dataCellStyle="Valuta"/>
  </tableColumns>
  <tableStyleInfo name="TableStyleMedium16" showFirstColumn="0" showLastColumn="0" showRowStripes="0" showColumnStripes="0"/>
</table>
</file>

<file path=xl/tables/table55.xml><?xml version="1.0" encoding="utf-8"?>
<table xmlns="http://schemas.openxmlformats.org/spreadsheetml/2006/main" id="25" name="Tabel_Totaal_werkzaamheden226" displayName="Tabel_Totaal_werkzaamheden226" ref="A7:F84" totalsRowCount="1" headerRowDxfId="53" dataDxfId="51" totalsRowDxfId="49" headerRowBorderDxfId="52" tableBorderDxfId="50">
  <autoFilter ref="A7:F8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48" totalsRowDxfId="47">
      <calculatedColumnFormula>IF(Tabel_Totaal_werkzaamheden226[[#This Row],[OMSCHRIJVING]]="","",_xlfn.XLOOKUP(Tabel_Totaal_werkzaamheden226[[#This Row],[OMSCHRIJVING]],Verwijzingsblad!$B$2:$B$186,Verwijzingsblad!$A$2:$A$186,""))</calculatedColumnFormula>
    </tableColumn>
    <tableColumn id="2" name="OMSCHRIJVING" dataDxfId="46" totalsRowDxfId="45"/>
    <tableColumn id="3" name="EENHEID" dataDxfId="44" totalsRowDxfId="43"/>
    <tableColumn id="4" name="HOEVEELHEID RESULTAATS- VERPLICHTING" totalsRowFunction="custom" dataDxfId="42" totalsRowDxfId="41">
      <totalsRowFormula>B3</totalsRowFormula>
    </tableColumn>
    <tableColumn id="5" name="PRIJS PER EENHEID IN EURO" totalsRowFunction="custom" dataDxfId="40" totalsRowDxfId="39" dataCellStyle="Valuta">
      <totalsRowFormula>A3</totalsRowFormula>
    </tableColumn>
    <tableColumn id="6" name="TOTAALBEDRAG IN EURO" totalsRowFunction="sum" dataDxfId="38" totalsRowDxfId="37" dataCellStyle="Valuta"/>
  </tableColumns>
  <tableStyleInfo name="TableStyleMedium16" showFirstColumn="0" showLastColumn="0" showRowStripes="0" showColumnStripes="0"/>
</table>
</file>

<file path=xl/tables/table56.xml><?xml version="1.0" encoding="utf-8"?>
<table xmlns="http://schemas.openxmlformats.org/spreadsheetml/2006/main" id="3" name="Totalen_tabbladen_objecten" displayName="Totalen_tabbladen_objecten" ref="A23:F79" totalsRowCount="1" headerRowDxfId="32" dataDxfId="31" totalsRowDxfId="29" tableBorderDxfId="30">
  <autoFilter ref="A23:F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6" name="Kolom1" totalsRowLabel="Subtotaal 2" dataDxfId="28" totalsRowDxfId="27"/>
    <tableColumn id="1" name="Objectnaam" dataDxfId="26" totalsRowDxfId="25"/>
    <tableColumn id="11" name="Kolom2" dataDxfId="24" totalsRowDxfId="23"/>
    <tableColumn id="12" name=" " dataDxfId="22" totalsRowDxfId="21"/>
    <tableColumn id="13" name="Object nr." dataDxfId="20" totalsRowDxfId="19"/>
    <tableColumn id="14" name="Totaal object" totalsRowFunction="sum" dataDxfId="18" totalsRowDxfId="17">
      <calculatedColumnFormula>Tabel_Totaal_werkzaamheden[[#Totals],[TOTAALBEDRAG IN EURO]]</calculatedColumnFormula>
    </tableColumn>
  </tableColumns>
  <tableStyleInfo name="TableStyleMedium20" showFirstColumn="0" showLastColumn="0" showRowStripes="1" showColumnStripes="0"/>
</table>
</file>

<file path=xl/tables/table57.xml><?xml version="1.0" encoding="utf-8"?>
<table xmlns="http://schemas.openxmlformats.org/spreadsheetml/2006/main" id="61" name="Tabel61" displayName="Tabel61" ref="A4:F20" totalsRowCount="1" headerRowDxfId="16" dataDxfId="14" totalsRowDxfId="12" headerRowBorderDxfId="15" tableBorderDxfId="13">
  <autoFilter ref="A4:F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Subtotaal 1" dataDxfId="11" totalsRowDxfId="10">
      <calculatedColumnFormula>IF(Tabel61[[#This Row],[OMSCHRIJVING]]="","",_xlfn.IFNA(VLOOKUP(Tabel61[[#This Row],[OMSCHRIJVING]],Verwijzingsblad!$B$2:$C$186,3,FALSE),""))</calculatedColumnFormula>
    </tableColumn>
    <tableColumn id="2" name="OMSCHRIJVING" dataDxfId="9" totalsRowDxfId="8"/>
    <tableColumn id="3" name="Kolom2" dataDxfId="7" totalsRowDxfId="6"/>
    <tableColumn id="4" name="Kolom3" dataDxfId="5" totalsRowDxfId="4"/>
    <tableColumn id="5" name="Kolom4" dataDxfId="3" totalsRowDxfId="2"/>
    <tableColumn id="6" name="TOTAALBEDRAG IN EURO" totalsRowFunction="sum" dataDxfId="1" totalsRowDxfId="0" dataCellStyle="Valuta"/>
  </tableColumns>
  <tableStyleInfo name="TableStyleMedium16" showFirstColumn="0" showLastColumn="0" showRowStripes="0" showColumnStripes="0"/>
</table>
</file>

<file path=xl/tables/table6.xml><?xml version="1.0" encoding="utf-8"?>
<table xmlns="http://schemas.openxmlformats.org/spreadsheetml/2006/main" id="7" name="Tabel_Totaal_werkzaamheden28" displayName="Tabel_Totaal_werkzaamheden28" ref="A7:F82" totalsRowCount="1" headerRowDxfId="886" dataDxfId="884" totalsRowDxfId="882" headerRowBorderDxfId="885" tableBorderDxfId="883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881" totalsRowDxfId="880">
      <calculatedColumnFormula>IF(Tabel_Totaal_werkzaamheden28[[#This Row],[OMSCHRIJVING]]="","",_xlfn.IFNA(VLOOKUP(Tabel_Totaal_werkzaamheden28[[#This Row],[OMSCHRIJVING]],Verwijzingsblad!$B$2:$C$186,3,FALSE),""))</calculatedColumnFormula>
    </tableColumn>
    <tableColumn id="2" name="OMSCHRIJVING" dataDxfId="879" totalsRowDxfId="878"/>
    <tableColumn id="3" name="EENHEID" dataDxfId="877" totalsRowDxfId="876"/>
    <tableColumn id="4" name="HOEVEELHEID RESULTAATS- VERPLICHTING" totalsRowFunction="custom" dataDxfId="875" totalsRowDxfId="874">
      <totalsRowFormula>B3</totalsRowFormula>
    </tableColumn>
    <tableColumn id="5" name="PRIJS PER EENHEID IN EURO" totalsRowFunction="custom" dataDxfId="873" totalsRowDxfId="872" dataCellStyle="Valuta">
      <totalsRowFormula>A3</totalsRowFormula>
    </tableColumn>
    <tableColumn id="6" name="TOTAALBEDRAG IN EURO" totalsRowFunction="sum" dataDxfId="871" totalsRowDxfId="870" dataCellStyle="Valuta"/>
  </tableColumns>
  <tableStyleInfo name="TableStyleMedium16" showFirstColumn="0" showLastColumn="0" showRowStripes="0" showColumnStripes="0"/>
</table>
</file>

<file path=xl/tables/table7.xml><?xml version="1.0" encoding="utf-8"?>
<table xmlns="http://schemas.openxmlformats.org/spreadsheetml/2006/main" id="8" name="Tabel_Totaal_werkzaamheden29" displayName="Tabel_Totaal_werkzaamheden29" ref="A7:F82" totalsRowCount="1" headerRowDxfId="869" dataDxfId="867" totalsRowDxfId="865" headerRowBorderDxfId="868" tableBorderDxfId="866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864" totalsRowDxfId="863">
      <calculatedColumnFormula>IF(Tabel_Totaal_werkzaamheden29[[#This Row],[OMSCHRIJVING]]="","",_xlfn.IFNA(VLOOKUP(Tabel_Totaal_werkzaamheden29[[#This Row],[OMSCHRIJVING]],Verwijzingsblad!$B$2:$C$186,3,FALSE),""))</calculatedColumnFormula>
    </tableColumn>
    <tableColumn id="2" name="OMSCHRIJVING" dataDxfId="862" totalsRowDxfId="861"/>
    <tableColumn id="3" name="EENHEID" dataDxfId="860" totalsRowDxfId="859"/>
    <tableColumn id="4" name="HOEVEELHEID RESULTAATS- VERPLICHTING" totalsRowFunction="custom" dataDxfId="858" totalsRowDxfId="857">
      <totalsRowFormula>B3</totalsRowFormula>
    </tableColumn>
    <tableColumn id="5" name="PRIJS PER EENHEID IN EURO" totalsRowFunction="custom" dataDxfId="856" totalsRowDxfId="855" dataCellStyle="Valuta">
      <totalsRowFormula>A3</totalsRowFormula>
    </tableColumn>
    <tableColumn id="6" name="TOTAALBEDRAG IN EURO" totalsRowFunction="sum" dataDxfId="854" totalsRowDxfId="853" dataCellStyle="Valuta"/>
  </tableColumns>
  <tableStyleInfo name="TableStyleMedium16" showFirstColumn="0" showLastColumn="0" showRowStripes="0" showColumnStripes="0"/>
</table>
</file>

<file path=xl/tables/table8.xml><?xml version="1.0" encoding="utf-8"?>
<table xmlns="http://schemas.openxmlformats.org/spreadsheetml/2006/main" id="9" name="Tabel_Totaal_werkzaamheden210" displayName="Tabel_Totaal_werkzaamheden210" ref="A7:F82" totalsRowCount="1" headerRowDxfId="852" dataDxfId="850" totalsRowDxfId="848" headerRowBorderDxfId="851" tableBorderDxfId="849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847" totalsRowDxfId="846">
      <calculatedColumnFormula>IF(Tabel_Totaal_werkzaamheden210[[#This Row],[OMSCHRIJVING]]="","",_xlfn.IFNA(VLOOKUP(Tabel_Totaal_werkzaamheden210[[#This Row],[OMSCHRIJVING]],Verwijzingsblad!$B$2:$C$186,3,FALSE),""))</calculatedColumnFormula>
    </tableColumn>
    <tableColumn id="2" name="OMSCHRIJVING" dataDxfId="845" totalsRowDxfId="844"/>
    <tableColumn id="3" name="EENHEID" dataDxfId="843" totalsRowDxfId="842"/>
    <tableColumn id="4" name="HOEVEELHEID RESULTAATS- VERPLICHTING" totalsRowFunction="custom" dataDxfId="841" totalsRowDxfId="840">
      <totalsRowFormula>B3</totalsRowFormula>
    </tableColumn>
    <tableColumn id="5" name="PRIJS PER EENHEID IN EURO" totalsRowFunction="custom" dataDxfId="839" totalsRowDxfId="838" dataCellStyle="Valuta">
      <totalsRowFormula>A3</totalsRowFormula>
    </tableColumn>
    <tableColumn id="6" name="TOTAALBEDRAG IN EURO" totalsRowFunction="sum" dataDxfId="837" totalsRowDxfId="836" dataCellStyle="Valuta"/>
  </tableColumns>
  <tableStyleInfo name="TableStyleMedium16" showFirstColumn="0" showLastColumn="0" showRowStripes="0" showColumnStripes="0"/>
</table>
</file>

<file path=xl/tables/table9.xml><?xml version="1.0" encoding="utf-8"?>
<table xmlns="http://schemas.openxmlformats.org/spreadsheetml/2006/main" id="10" name="Tabel_Totaal_werkzaamheden211" displayName="Tabel_Totaal_werkzaamheden211" ref="A7:F82" totalsRowCount="1" headerRowDxfId="835" dataDxfId="833" totalsRowDxfId="831" headerRowBorderDxfId="834" tableBorderDxfId="832">
  <autoFilter ref="A7:F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RA-GRAAF" totalsRowLabel="TOTAAL WERKZAAMHEDEN" dataDxfId="830" totalsRowDxfId="829">
      <calculatedColumnFormula>IF(Tabel_Totaal_werkzaamheden211[[#This Row],[OMSCHRIJVING]]="","",_xlfn.IFNA(VLOOKUP(Tabel_Totaal_werkzaamheden211[[#This Row],[OMSCHRIJVING]],Verwijzingsblad!$B$2:$C$186,3,FALSE),""))</calculatedColumnFormula>
    </tableColumn>
    <tableColumn id="2" name="OMSCHRIJVING" dataDxfId="828" totalsRowDxfId="827"/>
    <tableColumn id="3" name="EENHEID" dataDxfId="826" totalsRowDxfId="825"/>
    <tableColumn id="4" name="HOEVEELHEID RESULTAATS- VERPLICHTING" totalsRowFunction="custom" dataDxfId="824" totalsRowDxfId="823">
      <totalsRowFormula>B3</totalsRowFormula>
    </tableColumn>
    <tableColumn id="5" name="PRIJS PER EENHEID IN EURO" totalsRowFunction="custom" dataDxfId="822" totalsRowDxfId="821" dataCellStyle="Valuta">
      <totalsRowFormula>A3</totalsRowFormula>
    </tableColumn>
    <tableColumn id="6" name="TOTAALBEDRAG IN EURO" totalsRowFunction="sum" dataDxfId="820" totalsRowDxfId="819" dataCellStyle="Valuta"/>
  </tableColumns>
  <tableStyleInfo name="TableStyleMedium16" showFirstColumn="0" showLastColumn="0" showRowStripes="0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3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4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5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Relationship Id="rId4" Type="http://schemas.openxmlformats.org/officeDocument/2006/relationships/table" Target="../tables/table5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topLeftCell="A13" workbookViewId="0">
      <selection activeCell="B27" sqref="B27"/>
    </sheetView>
  </sheetViews>
  <sheetFormatPr defaultColWidth="9.140625" defaultRowHeight="15"/>
  <cols>
    <col min="1" max="1" width="9.140625" style="117"/>
    <col min="2" max="2" width="91.28515625" style="117" bestFit="1" customWidth="1"/>
    <col min="3" max="4" width="9.140625" style="117"/>
    <col min="5" max="5" width="8.85546875" style="117" bestFit="1" customWidth="1"/>
    <col min="6" max="8" width="9.140625" style="117"/>
    <col min="9" max="9" width="72" style="117" bestFit="1" customWidth="1"/>
    <col min="10" max="16384" width="9.140625" style="117"/>
  </cols>
  <sheetData>
    <row r="1" spans="1:5" ht="23.25" thickBot="1">
      <c r="A1" s="183" t="s">
        <v>165</v>
      </c>
      <c r="B1" s="184" t="s">
        <v>1</v>
      </c>
      <c r="C1" s="183" t="s">
        <v>529</v>
      </c>
    </row>
    <row r="2" spans="1:5">
      <c r="A2" s="20" t="s">
        <v>413</v>
      </c>
      <c r="B2" s="20" t="s">
        <v>414</v>
      </c>
      <c r="C2" s="20">
        <v>5</v>
      </c>
      <c r="E2" s="19"/>
    </row>
    <row r="3" spans="1:5">
      <c r="A3" s="20" t="s">
        <v>415</v>
      </c>
      <c r="B3" s="20" t="s">
        <v>368</v>
      </c>
      <c r="C3" s="20">
        <v>5</v>
      </c>
      <c r="E3" s="19"/>
    </row>
    <row r="4" spans="1:5" ht="15" customHeight="1">
      <c r="A4" s="20" t="s">
        <v>416</v>
      </c>
      <c r="B4" s="20" t="s">
        <v>417</v>
      </c>
      <c r="C4" s="20">
        <v>5</v>
      </c>
    </row>
    <row r="5" spans="1:5">
      <c r="A5" s="20" t="s">
        <v>418</v>
      </c>
      <c r="B5" s="20" t="s">
        <v>419</v>
      </c>
      <c r="C5" s="20">
        <v>5</v>
      </c>
    </row>
    <row r="6" spans="1:5">
      <c r="A6" s="20" t="s">
        <v>420</v>
      </c>
      <c r="B6" s="20" t="s">
        <v>516</v>
      </c>
      <c r="C6" s="20">
        <v>6</v>
      </c>
    </row>
    <row r="7" spans="1:5">
      <c r="A7" s="20" t="s">
        <v>422</v>
      </c>
      <c r="B7" s="20" t="s">
        <v>517</v>
      </c>
      <c r="C7" s="20">
        <v>6</v>
      </c>
    </row>
    <row r="8" spans="1:5">
      <c r="A8" s="20" t="s">
        <v>424</v>
      </c>
      <c r="B8" s="20" t="s">
        <v>518</v>
      </c>
      <c r="C8" s="20">
        <v>6</v>
      </c>
    </row>
    <row r="9" spans="1:5">
      <c r="A9" s="20" t="s">
        <v>426</v>
      </c>
      <c r="B9" s="20" t="s">
        <v>519</v>
      </c>
      <c r="C9" s="20">
        <v>6</v>
      </c>
    </row>
    <row r="10" spans="1:5">
      <c r="A10" s="20" t="s">
        <v>428</v>
      </c>
      <c r="B10" s="20" t="s">
        <v>421</v>
      </c>
      <c r="C10" s="20">
        <v>6</v>
      </c>
    </row>
    <row r="11" spans="1:5">
      <c r="A11" s="20" t="s">
        <v>520</v>
      </c>
      <c r="B11" s="20" t="s">
        <v>423</v>
      </c>
      <c r="C11" s="20">
        <v>7</v>
      </c>
    </row>
    <row r="12" spans="1:5">
      <c r="A12" s="20" t="s">
        <v>521</v>
      </c>
      <c r="B12" s="20" t="s">
        <v>425</v>
      </c>
      <c r="C12" s="20">
        <v>7</v>
      </c>
    </row>
    <row r="13" spans="1:5">
      <c r="A13" s="20" t="s">
        <v>522</v>
      </c>
      <c r="B13" s="20" t="s">
        <v>427</v>
      </c>
      <c r="C13" s="20">
        <v>7</v>
      </c>
    </row>
    <row r="14" spans="1:5">
      <c r="A14" s="20" t="s">
        <v>523</v>
      </c>
      <c r="B14" s="20" t="s">
        <v>429</v>
      </c>
      <c r="C14" s="20">
        <v>7</v>
      </c>
    </row>
    <row r="15" spans="1:5">
      <c r="A15" s="20" t="s">
        <v>524</v>
      </c>
      <c r="B15" s="20" t="s">
        <v>525</v>
      </c>
      <c r="C15" s="20">
        <v>8</v>
      </c>
    </row>
    <row r="16" spans="1:5">
      <c r="A16" s="20" t="s">
        <v>430</v>
      </c>
      <c r="B16" s="20" t="s">
        <v>431</v>
      </c>
      <c r="C16" s="20">
        <v>9</v>
      </c>
    </row>
    <row r="17" spans="1:5">
      <c r="A17" s="20" t="s">
        <v>432</v>
      </c>
      <c r="B17" s="20" t="s">
        <v>433</v>
      </c>
      <c r="C17" s="20">
        <v>9</v>
      </c>
    </row>
    <row r="18" spans="1:5">
      <c r="A18" s="20" t="s">
        <v>434</v>
      </c>
      <c r="B18" s="20" t="s">
        <v>435</v>
      </c>
      <c r="C18" s="20">
        <v>9</v>
      </c>
    </row>
    <row r="19" spans="1:5">
      <c r="A19" s="20" t="s">
        <v>436</v>
      </c>
      <c r="B19" s="20" t="s">
        <v>437</v>
      </c>
      <c r="C19" s="20">
        <v>10</v>
      </c>
    </row>
    <row r="20" spans="1:5">
      <c r="A20" s="20" t="s">
        <v>438</v>
      </c>
      <c r="B20" s="20" t="s">
        <v>439</v>
      </c>
      <c r="C20" s="20">
        <v>10</v>
      </c>
    </row>
    <row r="21" spans="1:5">
      <c r="A21" s="20" t="s">
        <v>356</v>
      </c>
      <c r="B21" s="20" t="s">
        <v>368</v>
      </c>
      <c r="C21" s="20">
        <v>10</v>
      </c>
      <c r="E21" s="204"/>
    </row>
    <row r="22" spans="1:5">
      <c r="A22" s="20" t="s">
        <v>357</v>
      </c>
      <c r="B22" s="20" t="s">
        <v>369</v>
      </c>
      <c r="C22" s="20">
        <v>10</v>
      </c>
    </row>
    <row r="23" spans="1:5">
      <c r="A23" s="20" t="s">
        <v>358</v>
      </c>
      <c r="B23" s="20" t="s">
        <v>370</v>
      </c>
      <c r="C23" s="20">
        <v>11</v>
      </c>
    </row>
    <row r="24" spans="1:5">
      <c r="A24" s="20" t="s">
        <v>359</v>
      </c>
      <c r="B24" s="20" t="s">
        <v>371</v>
      </c>
      <c r="C24" s="20">
        <v>12</v>
      </c>
    </row>
    <row r="25" spans="1:5">
      <c r="A25" s="20" t="s">
        <v>360</v>
      </c>
      <c r="B25" s="20" t="s">
        <v>372</v>
      </c>
      <c r="C25" s="20">
        <v>12</v>
      </c>
    </row>
    <row r="26" spans="1:5">
      <c r="A26" s="20" t="s">
        <v>361</v>
      </c>
      <c r="B26" s="20" t="s">
        <v>373</v>
      </c>
      <c r="C26" s="20">
        <v>13</v>
      </c>
    </row>
    <row r="27" spans="1:5">
      <c r="A27" s="20" t="s">
        <v>362</v>
      </c>
      <c r="B27" s="20" t="s">
        <v>374</v>
      </c>
      <c r="C27" s="20">
        <v>13</v>
      </c>
    </row>
    <row r="28" spans="1:5">
      <c r="A28" s="20" t="s">
        <v>363</v>
      </c>
      <c r="B28" s="20" t="s">
        <v>375</v>
      </c>
      <c r="C28" s="20">
        <v>15</v>
      </c>
    </row>
    <row r="29" spans="1:5">
      <c r="A29" s="20" t="s">
        <v>364</v>
      </c>
      <c r="B29" s="20" t="s">
        <v>526</v>
      </c>
      <c r="C29" s="20">
        <v>15</v>
      </c>
    </row>
    <row r="30" spans="1:5">
      <c r="A30" s="20" t="s">
        <v>365</v>
      </c>
      <c r="B30" s="20" t="s">
        <v>376</v>
      </c>
      <c r="C30" s="20">
        <v>16</v>
      </c>
    </row>
    <row r="31" spans="1:5">
      <c r="A31" s="20" t="s">
        <v>187</v>
      </c>
      <c r="B31" s="20" t="s">
        <v>34</v>
      </c>
      <c r="C31" s="20">
        <v>16</v>
      </c>
    </row>
    <row r="32" spans="1:5">
      <c r="A32" s="20" t="s">
        <v>188</v>
      </c>
      <c r="B32" s="20" t="s">
        <v>157</v>
      </c>
      <c r="C32" s="20">
        <v>18</v>
      </c>
    </row>
    <row r="33" spans="1:3">
      <c r="A33" s="20" t="s">
        <v>366</v>
      </c>
      <c r="B33" s="20" t="s">
        <v>377</v>
      </c>
      <c r="C33" s="20">
        <v>18</v>
      </c>
    </row>
    <row r="34" spans="1:3">
      <c r="A34" s="20" t="s">
        <v>189</v>
      </c>
      <c r="B34" s="20" t="s">
        <v>42</v>
      </c>
      <c r="C34" s="20">
        <v>18</v>
      </c>
    </row>
    <row r="35" spans="1:3">
      <c r="A35" s="20" t="s">
        <v>190</v>
      </c>
      <c r="B35" s="20" t="s">
        <v>378</v>
      </c>
      <c r="C35" s="20">
        <v>19</v>
      </c>
    </row>
    <row r="36" spans="1:3">
      <c r="A36" s="20" t="s">
        <v>367</v>
      </c>
      <c r="B36" s="20" t="s">
        <v>43</v>
      </c>
      <c r="C36" s="20">
        <v>19</v>
      </c>
    </row>
    <row r="37" spans="1:3">
      <c r="A37" s="20" t="s">
        <v>191</v>
      </c>
      <c r="B37" s="20" t="s">
        <v>182</v>
      </c>
      <c r="C37" s="20">
        <v>19</v>
      </c>
    </row>
    <row r="38" spans="1:3">
      <c r="A38" s="20" t="s">
        <v>192</v>
      </c>
      <c r="B38" s="20" t="s">
        <v>379</v>
      </c>
      <c r="C38" s="20">
        <v>20</v>
      </c>
    </row>
    <row r="39" spans="1:3">
      <c r="A39" s="20" t="s">
        <v>193</v>
      </c>
      <c r="B39" s="20" t="s">
        <v>380</v>
      </c>
      <c r="C39" s="20">
        <v>20</v>
      </c>
    </row>
    <row r="40" spans="1:3">
      <c r="A40" s="20" t="s">
        <v>381</v>
      </c>
      <c r="B40" s="20" t="s">
        <v>29</v>
      </c>
      <c r="C40" s="20">
        <v>20</v>
      </c>
    </row>
    <row r="41" spans="1:3">
      <c r="A41" s="20" t="s">
        <v>382</v>
      </c>
      <c r="B41" s="20" t="s">
        <v>159</v>
      </c>
      <c r="C41" s="20">
        <v>21</v>
      </c>
    </row>
    <row r="42" spans="1:3">
      <c r="A42" s="20" t="s">
        <v>383</v>
      </c>
      <c r="B42" s="20" t="s">
        <v>160</v>
      </c>
      <c r="C42" s="20">
        <v>22</v>
      </c>
    </row>
    <row r="43" spans="1:3">
      <c r="A43" s="20" t="s">
        <v>385</v>
      </c>
      <c r="B43" s="20" t="s">
        <v>384</v>
      </c>
      <c r="C43" s="20">
        <v>22</v>
      </c>
    </row>
    <row r="44" spans="1:3">
      <c r="A44" s="20" t="s">
        <v>387</v>
      </c>
      <c r="B44" s="20" t="s">
        <v>386</v>
      </c>
      <c r="C44" s="20">
        <v>22</v>
      </c>
    </row>
    <row r="45" spans="1:3">
      <c r="A45" s="20" t="s">
        <v>389</v>
      </c>
      <c r="B45" s="20" t="s">
        <v>388</v>
      </c>
      <c r="C45" s="20">
        <v>22</v>
      </c>
    </row>
    <row r="46" spans="1:3">
      <c r="A46" s="20" t="s">
        <v>194</v>
      </c>
      <c r="B46" s="20" t="s">
        <v>390</v>
      </c>
      <c r="C46" s="20">
        <v>22</v>
      </c>
    </row>
    <row r="47" spans="1:3">
      <c r="A47" s="20" t="s">
        <v>195</v>
      </c>
      <c r="B47" s="20" t="s">
        <v>391</v>
      </c>
      <c r="C47" s="20">
        <v>22</v>
      </c>
    </row>
    <row r="48" spans="1:3">
      <c r="A48" s="20" t="s">
        <v>393</v>
      </c>
      <c r="B48" s="20" t="s">
        <v>392</v>
      </c>
      <c r="C48" s="20">
        <v>22</v>
      </c>
    </row>
    <row r="49" spans="1:3">
      <c r="A49" s="20" t="s">
        <v>395</v>
      </c>
      <c r="B49" s="20" t="s">
        <v>394</v>
      </c>
      <c r="C49" s="20">
        <v>23</v>
      </c>
    </row>
    <row r="50" spans="1:3">
      <c r="A50" s="20" t="s">
        <v>397</v>
      </c>
      <c r="B50" s="20" t="s">
        <v>396</v>
      </c>
      <c r="C50" s="20">
        <v>24</v>
      </c>
    </row>
    <row r="51" spans="1:3">
      <c r="A51" s="20" t="s">
        <v>196</v>
      </c>
      <c r="B51" s="20" t="s">
        <v>398</v>
      </c>
      <c r="C51" s="20">
        <v>24</v>
      </c>
    </row>
    <row r="52" spans="1:3">
      <c r="A52" s="20" t="s">
        <v>400</v>
      </c>
      <c r="B52" s="20" t="s">
        <v>399</v>
      </c>
      <c r="C52" s="20">
        <v>24</v>
      </c>
    </row>
    <row r="53" spans="1:3">
      <c r="A53" s="20" t="s">
        <v>401</v>
      </c>
      <c r="B53" s="20" t="s">
        <v>161</v>
      </c>
      <c r="C53" s="20">
        <v>24</v>
      </c>
    </row>
    <row r="54" spans="1:3">
      <c r="A54" s="20" t="s">
        <v>403</v>
      </c>
      <c r="B54" s="20" t="s">
        <v>402</v>
      </c>
      <c r="C54" s="20">
        <v>24</v>
      </c>
    </row>
    <row r="55" spans="1:3">
      <c r="A55" s="20" t="s">
        <v>527</v>
      </c>
      <c r="B55" s="20" t="s">
        <v>404</v>
      </c>
      <c r="C55" s="20">
        <v>24</v>
      </c>
    </row>
    <row r="56" spans="1:3">
      <c r="A56" s="20" t="s">
        <v>405</v>
      </c>
      <c r="B56" s="20" t="s">
        <v>440</v>
      </c>
      <c r="C56" s="20">
        <v>26</v>
      </c>
    </row>
    <row r="57" spans="1:3">
      <c r="A57" s="20" t="s">
        <v>406</v>
      </c>
      <c r="B57" s="20" t="s">
        <v>441</v>
      </c>
      <c r="C57" s="20">
        <v>26</v>
      </c>
    </row>
    <row r="58" spans="1:3">
      <c r="A58" s="20" t="s">
        <v>407</v>
      </c>
      <c r="B58" s="20" t="s">
        <v>408</v>
      </c>
      <c r="C58" s="20">
        <v>26</v>
      </c>
    </row>
    <row r="59" spans="1:3">
      <c r="A59" s="20" t="s">
        <v>162</v>
      </c>
      <c r="B59" s="20" t="s">
        <v>227</v>
      </c>
      <c r="C59" s="20">
        <v>26</v>
      </c>
    </row>
    <row r="60" spans="1:3">
      <c r="A60" s="20" t="s">
        <v>409</v>
      </c>
      <c r="B60" s="20" t="s">
        <v>442</v>
      </c>
      <c r="C60" s="20">
        <v>27</v>
      </c>
    </row>
    <row r="61" spans="1:3">
      <c r="A61" s="20" t="s">
        <v>410</v>
      </c>
      <c r="B61" s="20" t="s">
        <v>443</v>
      </c>
      <c r="C61" s="20">
        <v>27</v>
      </c>
    </row>
    <row r="62" spans="1:3">
      <c r="A62" s="20" t="s">
        <v>411</v>
      </c>
      <c r="B62" s="20" t="s">
        <v>412</v>
      </c>
      <c r="C62" s="20">
        <v>27</v>
      </c>
    </row>
    <row r="63" spans="1:3">
      <c r="A63" s="20" t="s">
        <v>444</v>
      </c>
      <c r="B63" s="20" t="s">
        <v>445</v>
      </c>
      <c r="C63" s="20">
        <v>29</v>
      </c>
    </row>
    <row r="64" spans="1:3">
      <c r="A64" s="20" t="s">
        <v>176</v>
      </c>
      <c r="B64" s="20" t="s">
        <v>180</v>
      </c>
      <c r="C64" s="20">
        <v>30</v>
      </c>
    </row>
    <row r="65" spans="1:3">
      <c r="A65" s="20" t="s">
        <v>446</v>
      </c>
      <c r="B65" s="20" t="s">
        <v>433</v>
      </c>
      <c r="C65" s="20">
        <v>30</v>
      </c>
    </row>
    <row r="66" spans="1:3">
      <c r="A66" s="20" t="s">
        <v>447</v>
      </c>
      <c r="B66" s="20" t="s">
        <v>435</v>
      </c>
      <c r="C66" s="20">
        <v>30</v>
      </c>
    </row>
    <row r="67" spans="1:3">
      <c r="A67" s="20" t="s">
        <v>448</v>
      </c>
      <c r="B67" s="20" t="s">
        <v>437</v>
      </c>
      <c r="C67" s="20">
        <v>31</v>
      </c>
    </row>
    <row r="68" spans="1:3">
      <c r="A68" s="20" t="s">
        <v>449</v>
      </c>
      <c r="B68" s="20" t="s">
        <v>450</v>
      </c>
      <c r="C68" s="20">
        <v>35</v>
      </c>
    </row>
    <row r="69" spans="1:3">
      <c r="A69" s="20" t="s">
        <v>451</v>
      </c>
      <c r="B69" s="20" t="s">
        <v>452</v>
      </c>
      <c r="C69" s="20">
        <v>36</v>
      </c>
    </row>
    <row r="70" spans="1:3">
      <c r="A70" s="20" t="s">
        <v>453</v>
      </c>
      <c r="B70" s="20" t="s">
        <v>433</v>
      </c>
      <c r="C70" s="20">
        <v>36</v>
      </c>
    </row>
    <row r="71" spans="1:3">
      <c r="A71" s="20" t="s">
        <v>454</v>
      </c>
      <c r="B71" s="20" t="s">
        <v>435</v>
      </c>
      <c r="C71" s="20">
        <v>36</v>
      </c>
    </row>
    <row r="72" spans="1:3">
      <c r="A72" s="20" t="s">
        <v>455</v>
      </c>
      <c r="B72" s="20" t="s">
        <v>437</v>
      </c>
      <c r="C72" s="20">
        <v>36</v>
      </c>
    </row>
    <row r="73" spans="1:3">
      <c r="A73" s="20" t="s">
        <v>456</v>
      </c>
      <c r="B73" s="20" t="s">
        <v>450</v>
      </c>
      <c r="C73" s="20">
        <v>36</v>
      </c>
    </row>
    <row r="74" spans="1:3">
      <c r="A74" s="20" t="s">
        <v>177</v>
      </c>
      <c r="B74" s="20" t="s">
        <v>457</v>
      </c>
      <c r="C74" s="20">
        <v>37</v>
      </c>
    </row>
    <row r="75" spans="1:3">
      <c r="A75" s="20" t="s">
        <v>458</v>
      </c>
      <c r="B75" s="20" t="s">
        <v>433</v>
      </c>
      <c r="C75" s="20">
        <v>37</v>
      </c>
    </row>
    <row r="76" spans="1:3">
      <c r="A76" s="20" t="s">
        <v>459</v>
      </c>
      <c r="B76" s="20" t="s">
        <v>435</v>
      </c>
      <c r="C76" s="20">
        <v>38</v>
      </c>
    </row>
    <row r="77" spans="1:3">
      <c r="A77" s="20" t="s">
        <v>460</v>
      </c>
      <c r="B77" s="20" t="s">
        <v>437</v>
      </c>
      <c r="C77" s="20">
        <v>38</v>
      </c>
    </row>
    <row r="78" spans="1:3">
      <c r="A78" s="20" t="s">
        <v>461</v>
      </c>
      <c r="B78" s="20" t="s">
        <v>450</v>
      </c>
      <c r="C78" s="20">
        <v>38</v>
      </c>
    </row>
    <row r="79" spans="1:3">
      <c r="A79" s="20" t="s">
        <v>462</v>
      </c>
      <c r="B79" s="20" t="s">
        <v>463</v>
      </c>
      <c r="C79" s="20">
        <v>38</v>
      </c>
    </row>
    <row r="80" spans="1:3">
      <c r="A80" s="20" t="s">
        <v>197</v>
      </c>
      <c r="B80" s="20" t="s">
        <v>173</v>
      </c>
      <c r="C80" s="20">
        <v>39</v>
      </c>
    </row>
    <row r="81" spans="1:3">
      <c r="A81" s="20" t="s">
        <v>464</v>
      </c>
      <c r="B81" s="20" t="s">
        <v>433</v>
      </c>
      <c r="C81" s="20">
        <v>39</v>
      </c>
    </row>
    <row r="82" spans="1:3">
      <c r="A82" s="20" t="s">
        <v>465</v>
      </c>
      <c r="B82" s="20" t="s">
        <v>435</v>
      </c>
      <c r="C82" s="20">
        <v>39</v>
      </c>
    </row>
    <row r="83" spans="1:3">
      <c r="A83" s="20" t="s">
        <v>466</v>
      </c>
      <c r="B83" s="20" t="s">
        <v>437</v>
      </c>
      <c r="C83" s="20">
        <v>39</v>
      </c>
    </row>
    <row r="84" spans="1:3">
      <c r="A84" s="20" t="s">
        <v>467</v>
      </c>
      <c r="B84" s="20" t="s">
        <v>450</v>
      </c>
      <c r="C84" s="20">
        <v>39</v>
      </c>
    </row>
    <row r="85" spans="1:3">
      <c r="A85" s="20" t="s">
        <v>198</v>
      </c>
      <c r="B85" s="20" t="s">
        <v>169</v>
      </c>
      <c r="C85" s="20">
        <v>41</v>
      </c>
    </row>
    <row r="86" spans="1:3">
      <c r="A86" s="20" t="s">
        <v>468</v>
      </c>
      <c r="B86" s="20" t="s">
        <v>433</v>
      </c>
      <c r="C86" s="20">
        <v>41</v>
      </c>
    </row>
    <row r="87" spans="1:3">
      <c r="A87" s="20" t="s">
        <v>469</v>
      </c>
      <c r="B87" s="20" t="s">
        <v>435</v>
      </c>
      <c r="C87" s="20">
        <v>41</v>
      </c>
    </row>
    <row r="88" spans="1:3">
      <c r="A88" s="20" t="s">
        <v>470</v>
      </c>
      <c r="B88" s="20" t="s">
        <v>437</v>
      </c>
      <c r="C88" s="20">
        <v>41</v>
      </c>
    </row>
    <row r="89" spans="1:3">
      <c r="A89" s="20" t="s">
        <v>471</v>
      </c>
      <c r="B89" s="20" t="s">
        <v>450</v>
      </c>
      <c r="C89" s="20">
        <v>42</v>
      </c>
    </row>
    <row r="90" spans="1:3">
      <c r="A90" s="20" t="s">
        <v>199</v>
      </c>
      <c r="B90" s="20" t="s">
        <v>472</v>
      </c>
      <c r="C90" s="20">
        <v>43</v>
      </c>
    </row>
    <row r="91" spans="1:3">
      <c r="A91" s="20" t="s">
        <v>473</v>
      </c>
      <c r="B91" s="20" t="s">
        <v>433</v>
      </c>
      <c r="C91" s="20">
        <v>43</v>
      </c>
    </row>
    <row r="92" spans="1:3">
      <c r="A92" s="20" t="s">
        <v>474</v>
      </c>
      <c r="B92" s="20" t="s">
        <v>435</v>
      </c>
      <c r="C92" s="20">
        <v>43</v>
      </c>
    </row>
    <row r="93" spans="1:3">
      <c r="A93" s="20" t="s">
        <v>475</v>
      </c>
      <c r="B93" s="20" t="s">
        <v>437</v>
      </c>
      <c r="C93" s="20">
        <v>43</v>
      </c>
    </row>
    <row r="94" spans="1:3">
      <c r="A94" s="20" t="s">
        <v>476</v>
      </c>
      <c r="B94" s="20" t="s">
        <v>450</v>
      </c>
      <c r="C94" s="20">
        <v>43</v>
      </c>
    </row>
    <row r="95" spans="1:3">
      <c r="A95" s="20" t="s">
        <v>200</v>
      </c>
      <c r="B95" s="20" t="s">
        <v>174</v>
      </c>
      <c r="C95" s="20">
        <v>45</v>
      </c>
    </row>
    <row r="96" spans="1:3">
      <c r="A96" s="20" t="s">
        <v>477</v>
      </c>
      <c r="B96" s="20" t="s">
        <v>433</v>
      </c>
      <c r="C96" s="20">
        <v>45</v>
      </c>
    </row>
    <row r="97" spans="1:3">
      <c r="A97" s="20" t="s">
        <v>478</v>
      </c>
      <c r="B97" s="20" t="s">
        <v>435</v>
      </c>
      <c r="C97" s="20">
        <v>45</v>
      </c>
    </row>
    <row r="98" spans="1:3">
      <c r="A98" s="20" t="s">
        <v>479</v>
      </c>
      <c r="B98" s="20" t="s">
        <v>437</v>
      </c>
      <c r="C98" s="20">
        <v>46</v>
      </c>
    </row>
    <row r="99" spans="1:3">
      <c r="A99" s="20" t="s">
        <v>480</v>
      </c>
      <c r="B99" s="20" t="s">
        <v>450</v>
      </c>
      <c r="C99" s="20">
        <v>46</v>
      </c>
    </row>
    <row r="100" spans="1:3">
      <c r="A100" s="20" t="s">
        <v>201</v>
      </c>
      <c r="B100" s="20" t="s">
        <v>231</v>
      </c>
      <c r="C100" s="20">
        <v>47</v>
      </c>
    </row>
    <row r="101" spans="1:3">
      <c r="A101" s="20" t="s">
        <v>481</v>
      </c>
      <c r="B101" s="20" t="s">
        <v>433</v>
      </c>
      <c r="C101" s="20">
        <v>47</v>
      </c>
    </row>
    <row r="102" spans="1:3">
      <c r="A102" s="20" t="s">
        <v>482</v>
      </c>
      <c r="B102" s="20" t="s">
        <v>435</v>
      </c>
      <c r="C102" s="20">
        <v>47</v>
      </c>
    </row>
    <row r="103" spans="1:3">
      <c r="A103" s="20" t="s">
        <v>483</v>
      </c>
      <c r="B103" s="20" t="s">
        <v>437</v>
      </c>
      <c r="C103" s="20">
        <v>47</v>
      </c>
    </row>
    <row r="104" spans="1:3">
      <c r="A104" s="20" t="s">
        <v>484</v>
      </c>
      <c r="B104" s="20" t="s">
        <v>450</v>
      </c>
      <c r="C104" s="20">
        <v>47</v>
      </c>
    </row>
    <row r="105" spans="1:3">
      <c r="A105" s="20" t="s">
        <v>202</v>
      </c>
      <c r="B105" s="20" t="s">
        <v>184</v>
      </c>
      <c r="C105" s="20">
        <v>48</v>
      </c>
    </row>
    <row r="106" spans="1:3">
      <c r="A106" s="20" t="s">
        <v>485</v>
      </c>
      <c r="B106" s="20" t="s">
        <v>486</v>
      </c>
      <c r="C106" s="20">
        <v>48</v>
      </c>
    </row>
    <row r="107" spans="1:3">
      <c r="A107" s="20" t="s">
        <v>487</v>
      </c>
      <c r="B107" s="20" t="s">
        <v>488</v>
      </c>
      <c r="C107" s="20">
        <v>48</v>
      </c>
    </row>
    <row r="108" spans="1:3">
      <c r="A108" s="20" t="s">
        <v>489</v>
      </c>
      <c r="B108" s="20" t="s">
        <v>490</v>
      </c>
      <c r="C108" s="20">
        <v>50</v>
      </c>
    </row>
    <row r="109" spans="1:3">
      <c r="A109" s="20" t="s">
        <v>491</v>
      </c>
      <c r="B109" s="20" t="s">
        <v>321</v>
      </c>
      <c r="C109" s="20">
        <v>50</v>
      </c>
    </row>
    <row r="110" spans="1:3">
      <c r="A110" s="20" t="s">
        <v>493</v>
      </c>
      <c r="B110" s="20" t="s">
        <v>492</v>
      </c>
      <c r="C110" s="20">
        <v>50</v>
      </c>
    </row>
    <row r="111" spans="1:3">
      <c r="A111" s="20" t="s">
        <v>495</v>
      </c>
      <c r="B111" s="20" t="s">
        <v>494</v>
      </c>
      <c r="C111" s="20">
        <v>52</v>
      </c>
    </row>
    <row r="112" spans="1:3">
      <c r="A112" s="20" t="s">
        <v>497</v>
      </c>
      <c r="B112" s="20" t="s">
        <v>496</v>
      </c>
      <c r="C112" s="20">
        <v>54</v>
      </c>
    </row>
    <row r="113" spans="1:3">
      <c r="A113" s="20" t="s">
        <v>528</v>
      </c>
      <c r="B113" s="20" t="s">
        <v>498</v>
      </c>
      <c r="C113" s="20">
        <v>54</v>
      </c>
    </row>
    <row r="114" spans="1:3">
      <c r="A114" s="20" t="s">
        <v>203</v>
      </c>
      <c r="B114" s="20" t="s">
        <v>499</v>
      </c>
      <c r="C114" s="20">
        <v>56</v>
      </c>
    </row>
    <row r="115" spans="1:3">
      <c r="A115" s="20" t="s">
        <v>500</v>
      </c>
      <c r="B115" s="20" t="s">
        <v>433</v>
      </c>
      <c r="C115" s="20">
        <v>56</v>
      </c>
    </row>
    <row r="116" spans="1:3">
      <c r="A116" s="20" t="s">
        <v>501</v>
      </c>
      <c r="B116" s="20" t="s">
        <v>435</v>
      </c>
      <c r="C116" s="20">
        <v>56</v>
      </c>
    </row>
    <row r="117" spans="1:3">
      <c r="A117" s="20" t="s">
        <v>502</v>
      </c>
      <c r="B117" s="20" t="s">
        <v>437</v>
      </c>
      <c r="C117" s="20">
        <v>56</v>
      </c>
    </row>
    <row r="118" spans="1:3">
      <c r="A118" s="20" t="s">
        <v>503</v>
      </c>
      <c r="B118" s="20" t="s">
        <v>450</v>
      </c>
      <c r="C118" s="20">
        <v>56</v>
      </c>
    </row>
    <row r="119" spans="1:3">
      <c r="A119" s="20" t="s">
        <v>504</v>
      </c>
      <c r="B119" s="20" t="s">
        <v>505</v>
      </c>
      <c r="C119" s="20">
        <v>57</v>
      </c>
    </row>
    <row r="120" spans="1:3">
      <c r="A120" s="20" t="s">
        <v>506</v>
      </c>
      <c r="B120" s="20" t="s">
        <v>507</v>
      </c>
      <c r="C120" s="20">
        <v>57</v>
      </c>
    </row>
    <row r="121" spans="1:3">
      <c r="A121" s="20" t="s">
        <v>508</v>
      </c>
      <c r="B121" s="20" t="s">
        <v>509</v>
      </c>
      <c r="C121" s="20">
        <v>58</v>
      </c>
    </row>
    <row r="122" spans="1:3">
      <c r="A122" s="20"/>
      <c r="B122" s="20"/>
      <c r="C122" s="20"/>
    </row>
    <row r="123" spans="1:3">
      <c r="A123" s="20" t="s">
        <v>362</v>
      </c>
      <c r="B123" s="20" t="s">
        <v>30</v>
      </c>
      <c r="C123" s="20"/>
    </row>
    <row r="124" spans="1:3">
      <c r="A124" s="20" t="s">
        <v>362</v>
      </c>
      <c r="B124" s="20" t="s">
        <v>31</v>
      </c>
      <c r="C124" s="20"/>
    </row>
    <row r="125" spans="1:3">
      <c r="A125" s="20" t="s">
        <v>362</v>
      </c>
      <c r="B125" s="20" t="s">
        <v>32</v>
      </c>
      <c r="C125" s="20"/>
    </row>
    <row r="126" spans="1:3">
      <c r="A126" s="20" t="s">
        <v>362</v>
      </c>
      <c r="B126" s="20" t="s">
        <v>33</v>
      </c>
      <c r="C126" s="20"/>
    </row>
    <row r="127" spans="1:3">
      <c r="A127" s="20"/>
      <c r="B127" s="20"/>
      <c r="C127" s="20"/>
    </row>
    <row r="128" spans="1:3">
      <c r="A128" s="20"/>
      <c r="B128" s="20"/>
      <c r="C128" s="20"/>
    </row>
    <row r="129" spans="1:3">
      <c r="A129" s="20"/>
      <c r="B129" s="20"/>
      <c r="C129" s="20"/>
    </row>
    <row r="130" spans="1:3">
      <c r="A130" s="20"/>
      <c r="B130" s="20"/>
      <c r="C130" s="20"/>
    </row>
    <row r="131" spans="1:3">
      <c r="A131" s="20"/>
      <c r="B131" s="20"/>
      <c r="C131" s="20"/>
    </row>
    <row r="132" spans="1:3">
      <c r="A132" s="20"/>
      <c r="B132" s="20"/>
      <c r="C132" s="20"/>
    </row>
    <row r="133" spans="1:3">
      <c r="A133" s="20"/>
      <c r="B133" s="20"/>
      <c r="C133" s="20"/>
    </row>
    <row r="134" spans="1:3">
      <c r="A134" s="20"/>
      <c r="B134" s="20"/>
      <c r="C134" s="20"/>
    </row>
    <row r="135" spans="1:3">
      <c r="A135" s="20"/>
      <c r="B135" s="20"/>
      <c r="C135" s="20"/>
    </row>
    <row r="136" spans="1:3">
      <c r="A136" s="20"/>
      <c r="B136" s="20"/>
      <c r="C136" s="20"/>
    </row>
    <row r="137" spans="1:3">
      <c r="A137" s="20"/>
      <c r="B137" s="20"/>
      <c r="C137" s="20"/>
    </row>
    <row r="138" spans="1:3">
      <c r="A138" s="20"/>
      <c r="B138" s="20"/>
      <c r="C138" s="20"/>
    </row>
    <row r="139" spans="1:3">
      <c r="A139" s="20"/>
      <c r="B139" s="20"/>
      <c r="C139" s="20"/>
    </row>
    <row r="140" spans="1:3">
      <c r="A140" s="20"/>
      <c r="B140" s="20"/>
      <c r="C140" s="20"/>
    </row>
    <row r="141" spans="1:3">
      <c r="A141" s="20"/>
      <c r="B141" s="20"/>
      <c r="C141" s="20"/>
    </row>
    <row r="142" spans="1:3">
      <c r="A142" s="20"/>
      <c r="B142" s="20"/>
      <c r="C142" s="20"/>
    </row>
    <row r="143" spans="1:3">
      <c r="A143" s="20"/>
      <c r="B143" s="20"/>
      <c r="C143" s="20"/>
    </row>
    <row r="144" spans="1:3">
      <c r="A144" s="20"/>
      <c r="B144" s="20"/>
      <c r="C144" s="20"/>
    </row>
    <row r="145" spans="1:3">
      <c r="A145" s="20"/>
      <c r="B145" s="20"/>
      <c r="C145" s="20"/>
    </row>
    <row r="146" spans="1:3">
      <c r="A146" s="20"/>
      <c r="B146" s="20"/>
      <c r="C146" s="20"/>
    </row>
    <row r="147" spans="1:3">
      <c r="A147" s="20"/>
      <c r="B147" s="20"/>
      <c r="C147" s="20"/>
    </row>
    <row r="148" spans="1:3">
      <c r="A148" s="20"/>
      <c r="B148" s="20"/>
      <c r="C148" s="20"/>
    </row>
    <row r="149" spans="1:3">
      <c r="A149" s="20"/>
      <c r="B149" s="20"/>
      <c r="C149" s="20"/>
    </row>
    <row r="150" spans="1:3">
      <c r="A150" s="20"/>
      <c r="B150" s="20"/>
      <c r="C150" s="20"/>
    </row>
    <row r="151" spans="1:3">
      <c r="A151" s="20"/>
      <c r="B151" s="20"/>
      <c r="C151" s="20"/>
    </row>
    <row r="152" spans="1:3">
      <c r="A152" s="20"/>
      <c r="B152" s="20"/>
      <c r="C152" s="20"/>
    </row>
    <row r="153" spans="1:3">
      <c r="A153" s="20"/>
      <c r="B153" s="20"/>
      <c r="C153" s="20"/>
    </row>
    <row r="154" spans="1:3">
      <c r="A154" s="20"/>
      <c r="B154" s="20"/>
      <c r="C154" s="20"/>
    </row>
    <row r="155" spans="1:3">
      <c r="A155" s="20"/>
      <c r="B155" s="20"/>
      <c r="C155" s="20"/>
    </row>
    <row r="156" spans="1:3">
      <c r="A156" s="20"/>
      <c r="B156" s="20"/>
      <c r="C156" s="20"/>
    </row>
    <row r="157" spans="1:3">
      <c r="A157" s="20"/>
      <c r="B157" s="20"/>
      <c r="C157" s="20"/>
    </row>
    <row r="158" spans="1:3">
      <c r="A158" s="20"/>
      <c r="B158" s="20"/>
      <c r="C158" s="20"/>
    </row>
    <row r="159" spans="1:3">
      <c r="A159" s="20"/>
      <c r="B159" s="20"/>
      <c r="C159" s="20"/>
    </row>
    <row r="160" spans="1:3">
      <c r="A160" s="20"/>
      <c r="B160" s="20"/>
      <c r="C160" s="20"/>
    </row>
    <row r="161" spans="1:3">
      <c r="A161" s="20"/>
      <c r="B161" s="20"/>
      <c r="C161" s="20"/>
    </row>
    <row r="162" spans="1:3">
      <c r="A162" s="20"/>
      <c r="B162" s="20"/>
      <c r="C162" s="20"/>
    </row>
    <row r="163" spans="1:3">
      <c r="A163" s="20"/>
      <c r="B163" s="20"/>
      <c r="C163" s="20"/>
    </row>
    <row r="164" spans="1:3">
      <c r="A164" s="20"/>
      <c r="B164" s="20"/>
      <c r="C164" s="20"/>
    </row>
    <row r="165" spans="1:3">
      <c r="A165" s="20"/>
      <c r="B165" s="20"/>
      <c r="C165" s="20"/>
    </row>
    <row r="166" spans="1:3">
      <c r="A166" s="20"/>
      <c r="B166" s="185"/>
      <c r="C166" s="20"/>
    </row>
    <row r="167" spans="1:3">
      <c r="A167" s="20"/>
      <c r="B167" s="185"/>
      <c r="C167" s="20"/>
    </row>
    <row r="168" spans="1:3">
      <c r="A168" s="20"/>
      <c r="B168" s="185"/>
      <c r="C168" s="20"/>
    </row>
    <row r="169" spans="1:3">
      <c r="A169" s="20"/>
      <c r="B169" s="185"/>
      <c r="C169" s="20"/>
    </row>
    <row r="170" spans="1:3">
      <c r="A170" s="20"/>
      <c r="B170" s="185"/>
      <c r="C170" s="20"/>
    </row>
    <row r="171" spans="1:3">
      <c r="A171" s="20"/>
      <c r="B171" s="185"/>
      <c r="C171" s="20"/>
    </row>
    <row r="172" spans="1:3">
      <c r="A172" s="20"/>
      <c r="B172" s="185"/>
      <c r="C172" s="20"/>
    </row>
    <row r="173" spans="1:3">
      <c r="A173" s="20"/>
      <c r="B173" s="185"/>
      <c r="C173" s="20"/>
    </row>
    <row r="174" spans="1:3">
      <c r="A174" s="20"/>
      <c r="B174" s="185"/>
      <c r="C174" s="20"/>
    </row>
    <row r="175" spans="1:3">
      <c r="A175" s="20"/>
      <c r="B175" s="185"/>
      <c r="C175" s="20"/>
    </row>
    <row r="176" spans="1:3">
      <c r="A176" s="20"/>
      <c r="B176" s="185"/>
      <c r="C176" s="20"/>
    </row>
    <row r="177" spans="1:3">
      <c r="A177" s="20"/>
      <c r="B177" s="185"/>
      <c r="C177" s="20"/>
    </row>
    <row r="178" spans="1:3">
      <c r="A178" s="20"/>
      <c r="B178" s="185"/>
      <c r="C178" s="20"/>
    </row>
    <row r="179" spans="1:3">
      <c r="A179" s="20"/>
      <c r="B179" s="185"/>
      <c r="C179" s="20"/>
    </row>
    <row r="180" spans="1:3">
      <c r="A180" s="20"/>
      <c r="B180" s="185"/>
      <c r="C180" s="20"/>
    </row>
    <row r="181" spans="1:3">
      <c r="A181" s="20"/>
      <c r="B181" s="185"/>
      <c r="C181" s="20"/>
    </row>
    <row r="182" spans="1:3">
      <c r="A182" s="20"/>
      <c r="B182" s="185"/>
      <c r="C182" s="20"/>
    </row>
    <row r="183" spans="1:3">
      <c r="A183" s="20"/>
      <c r="B183" s="185"/>
      <c r="C183" s="20"/>
    </row>
    <row r="184" spans="1:3">
      <c r="A184" s="20"/>
      <c r="B184" s="20"/>
      <c r="C184" s="20"/>
    </row>
    <row r="185" spans="1:3">
      <c r="A185" s="20"/>
      <c r="B185" s="20"/>
      <c r="C185" s="20"/>
    </row>
    <row r="186" spans="1:3">
      <c r="A186" s="20"/>
      <c r="B186" s="20"/>
      <c r="C186" s="20"/>
    </row>
    <row r="189" spans="1:3">
      <c r="B189" s="117" t="s">
        <v>530</v>
      </c>
    </row>
  </sheetData>
  <sheetProtection algorithmName="SHA-512" hashValue="E+4Q8jtz9oaMzfeYAc7KN3XvdwBPQAlQb8AgIkmrDbed6CgD5znv2SnOUjC2m9jtEhHoNfChT3nF14pl9lBVHg==" saltValue="wP5TfwxM91XPkGBfq5Sg5w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58</v>
      </c>
      <c r="B3" s="23" t="s">
        <v>59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31" t="s">
        <v>283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7.5</v>
      </c>
      <c r="E5" s="31" t="s">
        <v>284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IF(Tabel_Totaal_werkzaamheden210[[#This Row],[OMSCHRIJVING]]="","",_xlfn.XLOOKUP(Tabel_Totaal_werkzaamheden210[[#This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VLOOKUP(Tabel_Totaal_werkzaamheden210[[#This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VLOOKUP(Tabel_Totaal_werkzaamheden210[[#This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VLOOKUP(Tabel_Totaal_werkzaamheden210[[#This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VLOOKUP(Tabel_Totaal_werkzaamheden210[[#This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VLOOKUP(Tabel_Totaal_werkzaamheden210[[#This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VLOOKUP(Tabel_Totaal_werkzaamheden210[[#This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ht="15.95" customHeight="1">
      <c r="A28" s="1"/>
      <c r="B28" s="52"/>
      <c r="C28" s="66"/>
      <c r="D28" s="54"/>
      <c r="E28" s="188"/>
      <c r="F28" s="55"/>
    </row>
    <row r="29" spans="1:10" ht="15.95" customHeight="1">
      <c r="A29" s="1" t="str">
        <f>VLOOKUP(Tabel_Totaal_werkzaamheden210[[#This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VLOOKUP(Tabel_Totaal_werkzaamheden210[[#This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VLOOKUP(Tabel_Totaal_werkzaamheden210[[#This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VLOOKUP(Tabel_Totaal_werkzaamheden210[[#This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VLOOKUP(Tabel_Totaal_werkzaamheden210[[#This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VLOOKUP(Tabel_Totaal_werkzaamheden210[[#This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"/>
      <c r="B47" s="52" t="s">
        <v>288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 t="s">
        <v>238</v>
      </c>
      <c r="C48" s="66" t="s">
        <v>26</v>
      </c>
      <c r="D48" s="54">
        <v>15</v>
      </c>
      <c r="E48" s="188"/>
      <c r="F48" s="55"/>
      <c r="I48" s="21"/>
    </row>
    <row r="49" spans="1:10" ht="15.95" customHeight="1">
      <c r="A49" s="1"/>
      <c r="B49" s="52"/>
      <c r="C49" s="66"/>
      <c r="D49" s="54"/>
      <c r="E49" s="188"/>
      <c r="F49" s="55"/>
    </row>
    <row r="50" spans="1:10" ht="15.95" customHeight="1">
      <c r="A50" s="1" t="str">
        <f>VLOOKUP(Tabel_Totaal_werkzaamheden210[[#This Row],[OMSCHRIJVING]],Blad1!A:C,3,FALSE)</f>
        <v>3.4</v>
      </c>
      <c r="B50" s="70" t="s">
        <v>543</v>
      </c>
      <c r="C50" s="66"/>
      <c r="D50" s="54"/>
      <c r="E50" s="188"/>
      <c r="F50" s="55"/>
    </row>
    <row r="51" spans="1:10" ht="15.95" customHeight="1">
      <c r="A51" s="1"/>
      <c r="B51" s="60" t="s">
        <v>545</v>
      </c>
      <c r="C51" s="66" t="s">
        <v>26</v>
      </c>
      <c r="D51" s="54">
        <v>14</v>
      </c>
      <c r="E51" s="188"/>
      <c r="F51" s="55"/>
    </row>
    <row r="52" spans="1:10" ht="15.95" customHeight="1">
      <c r="A52" s="1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VLOOKUP(Tabel_Totaal_werkzaamheden210[[#This Row],[OMSCHRIJVING]],Blad1!A:C,3,FALSE)</f>
        <v>3.5</v>
      </c>
      <c r="B53" s="70" t="s">
        <v>169</v>
      </c>
      <c r="C53" s="66"/>
      <c r="D53" s="54"/>
      <c r="E53" s="188"/>
      <c r="F53" s="55"/>
    </row>
    <row r="54" spans="1:10" ht="15.95" customHeight="1">
      <c r="A54" s="1"/>
      <c r="B54" s="19" t="s">
        <v>179</v>
      </c>
      <c r="C54" s="66" t="s">
        <v>18</v>
      </c>
      <c r="D54" s="54">
        <v>1</v>
      </c>
      <c r="E54" s="188"/>
      <c r="F54" s="55"/>
    </row>
    <row r="55" spans="1:10" ht="15.95" customHeight="1">
      <c r="A55" s="1"/>
      <c r="B55" s="19" t="s">
        <v>170</v>
      </c>
      <c r="C55" s="66" t="s">
        <v>18</v>
      </c>
      <c r="D55" s="54">
        <v>1</v>
      </c>
      <c r="E55" s="188"/>
      <c r="F55" s="55"/>
    </row>
    <row r="56" spans="1:10" ht="15.95" customHeight="1">
      <c r="A56" s="1"/>
      <c r="B56" s="19" t="s">
        <v>178</v>
      </c>
      <c r="C56" s="66" t="s">
        <v>24</v>
      </c>
      <c r="D56" s="54">
        <v>15</v>
      </c>
      <c r="E56" s="188"/>
      <c r="F56" s="55"/>
      <c r="I56" s="71"/>
      <c r="J56" s="71"/>
    </row>
    <row r="57" spans="1:10" ht="15.95" customHeight="1">
      <c r="A57" s="1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VLOOKUP(Tabel_Totaal_werkzaamheden210[[#This Row],[OMSCHRIJVING]],Blad1!A:C,3,FALSE)</f>
        <v>3.6</v>
      </c>
      <c r="B58" s="15" t="s">
        <v>472</v>
      </c>
      <c r="C58" s="66"/>
      <c r="D58" s="54"/>
      <c r="E58" s="188"/>
      <c r="F58" s="55"/>
    </row>
    <row r="59" spans="1:10" ht="15.95" customHeight="1">
      <c r="A59" s="1"/>
      <c r="B59" s="52" t="s">
        <v>186</v>
      </c>
      <c r="C59" s="66" t="s">
        <v>18</v>
      </c>
      <c r="D59" s="54">
        <v>1</v>
      </c>
      <c r="E59" s="188"/>
      <c r="F59" s="55"/>
      <c r="G59" s="67"/>
    </row>
    <row r="60" spans="1:10" ht="15.95" customHeight="1">
      <c r="A60" s="1"/>
      <c r="B60" s="52" t="s">
        <v>167</v>
      </c>
      <c r="C60" s="66" t="s">
        <v>18</v>
      </c>
      <c r="D60" s="54">
        <v>1</v>
      </c>
      <c r="E60" s="188"/>
      <c r="F60" s="55"/>
    </row>
    <row r="61" spans="1:10" ht="15.95" customHeight="1">
      <c r="A61" s="1"/>
      <c r="B61" s="60" t="s">
        <v>172</v>
      </c>
      <c r="C61" s="66" t="s">
        <v>18</v>
      </c>
      <c r="D61" s="54">
        <v>1</v>
      </c>
      <c r="E61" s="188"/>
      <c r="F61" s="55"/>
    </row>
    <row r="62" spans="1:10" ht="15.95" customHeight="1">
      <c r="A62" s="1"/>
      <c r="B62" s="52" t="s">
        <v>23</v>
      </c>
      <c r="C62" s="66" t="s">
        <v>18</v>
      </c>
      <c r="D62" s="54">
        <v>1</v>
      </c>
      <c r="E62" s="188"/>
      <c r="F62" s="55"/>
    </row>
    <row r="63" spans="1:10" ht="15.95" customHeight="1">
      <c r="A63" s="1"/>
      <c r="B63" s="52" t="s">
        <v>25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52" t="s">
        <v>185</v>
      </c>
      <c r="C64" s="66" t="s">
        <v>18</v>
      </c>
      <c r="D64" s="54">
        <v>1</v>
      </c>
      <c r="E64" s="188"/>
      <c r="F64" s="55"/>
      <c r="H64" s="21"/>
    </row>
    <row r="65" spans="1:8" ht="15.95" customHeight="1">
      <c r="A65" s="1"/>
      <c r="B65" s="52" t="s">
        <v>542</v>
      </c>
      <c r="C65" s="66" t="s">
        <v>26</v>
      </c>
      <c r="D65" s="54">
        <v>14</v>
      </c>
      <c r="E65" s="188"/>
      <c r="F65" s="55"/>
    </row>
    <row r="66" spans="1:8" ht="15.95" customHeight="1">
      <c r="A66" s="1"/>
      <c r="B66" s="52" t="s">
        <v>27</v>
      </c>
      <c r="C66" s="66" t="s">
        <v>24</v>
      </c>
      <c r="D66" s="54">
        <v>16.2</v>
      </c>
      <c r="E66" s="188"/>
      <c r="F66" s="55"/>
      <c r="H66" s="21"/>
    </row>
    <row r="67" spans="1:8" ht="15.95" customHeight="1">
      <c r="A67" s="1"/>
      <c r="B67" s="52" t="s">
        <v>181</v>
      </c>
      <c r="C67" s="66" t="s">
        <v>24</v>
      </c>
      <c r="D67" s="54">
        <v>8</v>
      </c>
      <c r="E67" s="188"/>
      <c r="F67" s="55"/>
    </row>
    <row r="68" spans="1:8" ht="15.95" customHeight="1">
      <c r="A68" s="1"/>
      <c r="B68" s="52" t="s">
        <v>171</v>
      </c>
      <c r="C68" s="66" t="s">
        <v>18</v>
      </c>
      <c r="D68" s="54">
        <v>1</v>
      </c>
      <c r="E68" s="188"/>
      <c r="F68" s="55"/>
    </row>
    <row r="69" spans="1:8" ht="15.95" customHeight="1">
      <c r="A69" s="1"/>
      <c r="B69" s="52"/>
      <c r="C69" s="66"/>
      <c r="D69" s="54"/>
      <c r="E69" s="188"/>
      <c r="F69" s="55"/>
    </row>
    <row r="70" spans="1:8" ht="15.95" customHeight="1">
      <c r="A70" s="1" t="str">
        <f>VLOOKUP(Tabel_Totaal_werkzaamheden210[[#This Row],[OMSCHRIJVING]],Blad1!A:C,3,FALSE)</f>
        <v>3.7</v>
      </c>
      <c r="B70" s="70" t="s">
        <v>174</v>
      </c>
      <c r="C70" s="66"/>
      <c r="D70" s="54"/>
      <c r="E70" s="188"/>
      <c r="F70" s="55"/>
    </row>
    <row r="71" spans="1:8" ht="15.95" customHeight="1">
      <c r="A71" s="1"/>
      <c r="B71" s="19" t="s">
        <v>342</v>
      </c>
      <c r="C71" s="66" t="s">
        <v>26</v>
      </c>
      <c r="D71" s="54">
        <v>15</v>
      </c>
      <c r="E71" s="188"/>
      <c r="F71" s="55"/>
    </row>
    <row r="72" spans="1:8" ht="15.95" customHeight="1">
      <c r="A72" s="1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VLOOKUP(Tabel_Totaal_werkzaamheden210[[#This Row],[OMSCHRIJVING]],Blad1!A:C,3,FALSE)</f>
        <v>3.8</v>
      </c>
      <c r="B73" s="72" t="s">
        <v>231</v>
      </c>
      <c r="C73" s="73"/>
      <c r="D73" s="54"/>
      <c r="E73" s="188"/>
      <c r="F73" s="55"/>
    </row>
    <row r="74" spans="1:8" ht="15.95" customHeight="1">
      <c r="A74" s="1"/>
      <c r="B74" s="74" t="s">
        <v>28</v>
      </c>
      <c r="C74" s="73" t="s">
        <v>18</v>
      </c>
      <c r="D74" s="54">
        <v>1</v>
      </c>
      <c r="E74" s="188"/>
      <c r="F74" s="55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VLOOKUP(Tabel_Totaal_werkzaamheden210[[#This Row],[OMSCHRIJVING]],Blad1!A:C,3,FALSE)</f>
        <v>3.9</v>
      </c>
      <c r="B76" s="72" t="s">
        <v>184</v>
      </c>
      <c r="C76" s="73"/>
      <c r="D76" s="54"/>
      <c r="E76" s="188"/>
      <c r="F76" s="55"/>
    </row>
    <row r="77" spans="1:8" s="97" customFormat="1" ht="15.95" customHeight="1">
      <c r="A77" s="217" t="s">
        <v>485</v>
      </c>
      <c r="B77" s="74" t="s">
        <v>338</v>
      </c>
      <c r="C77" s="73" t="s">
        <v>18</v>
      </c>
      <c r="D77" s="54">
        <v>1</v>
      </c>
      <c r="E77" s="188"/>
      <c r="F77" s="55"/>
      <c r="G77" s="96"/>
    </row>
    <row r="78" spans="1:8" ht="15.95" customHeight="1">
      <c r="A78" s="1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VLOOKUP(Tabel_Totaal_werkzaamheden210[[#This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" t="str">
        <f>IF(Tabel_Totaal_werkzaamheden210[[#This Row],[OMSCHRIJVING]]="","",_xlfn.XLOOKUP(Tabel_Totaal_werkzaamheden210[[#This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5 Vlinderveen</v>
      </c>
      <c r="E82" s="209" t="str">
        <f>A3</f>
        <v>EEK-06</v>
      </c>
      <c r="F82" s="210">
        <f>SUBTOTAL(109,Tabel_Totaal_werkzaamheden210[TOTAALBEDRAG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60</v>
      </c>
      <c r="B3" s="23" t="s">
        <v>61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31" t="s">
        <v>283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7</v>
      </c>
      <c r="E5" s="31" t="s">
        <v>284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52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253"/>
      <c r="I7" s="253"/>
      <c r="J7" s="253"/>
    </row>
    <row r="8" spans="1:10" s="21" customFormat="1" ht="15.95" customHeight="1">
      <c r="A8" s="2" t="str">
        <f>IF(Tabel_Totaal_werkzaamheden211[[#This Row],[OMSCHRIJVING]]="","",_xlfn.XLOOKUP(Tabel_Totaal_werkzaamheden211[[#This Row],[OMSCHRIJVING]],Verwijzingsblad!$B$2:$B$186,Verwijzingsblad!$A$2:$A$186,""))</f>
        <v/>
      </c>
      <c r="B8" s="248"/>
      <c r="C8" s="249"/>
      <c r="D8" s="249"/>
      <c r="E8" s="250"/>
      <c r="F8" s="251"/>
      <c r="H8" s="19"/>
      <c r="I8" s="19"/>
      <c r="J8" s="19"/>
    </row>
    <row r="9" spans="1:10" s="21" customFormat="1" ht="15.95" customHeight="1">
      <c r="A9" s="1" t="str">
        <f>VLOOKUP(Tabel_Totaal_werkzaamheden211[[#This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VLOOKUP(Tabel_Totaal_werkzaamheden211[[#This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VLOOKUP(Tabel_Totaal_werkzaamheden211[[#This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VLOOKUP(Tabel_Totaal_werkzaamheden211[[#This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VLOOKUP(Tabel_Totaal_werkzaamheden211[[#This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VLOOKUP(Tabel_Totaal_werkzaamheden211[[#This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ht="15.95" customHeight="1">
      <c r="A28" s="1"/>
      <c r="B28" s="52"/>
      <c r="C28" s="66"/>
      <c r="D28" s="54"/>
      <c r="E28" s="188"/>
      <c r="F28" s="55"/>
    </row>
    <row r="29" spans="1:10" ht="15.95" customHeight="1">
      <c r="A29" s="1" t="str">
        <f>VLOOKUP(Tabel_Totaal_werkzaamheden211[[#This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VLOOKUP(Tabel_Totaal_werkzaamheden211[[#This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VLOOKUP(Tabel_Totaal_werkzaamheden211[[#This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VLOOKUP(Tabel_Totaal_werkzaamheden211[[#This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VLOOKUP(Tabel_Totaal_werkzaamheden211[[#This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VLOOKUP(Tabel_Totaal_werkzaamheden211[[#This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"/>
      <c r="B47" s="52" t="s">
        <v>288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 t="s">
        <v>238</v>
      </c>
      <c r="C48" s="66" t="s">
        <v>26</v>
      </c>
      <c r="D48" s="54">
        <v>15</v>
      </c>
      <c r="E48" s="188"/>
      <c r="F48" s="55"/>
      <c r="I48" s="21"/>
    </row>
    <row r="49" spans="1:10" ht="15.95" customHeight="1">
      <c r="A49" s="1"/>
      <c r="B49" s="52"/>
      <c r="C49" s="66"/>
      <c r="D49" s="54"/>
      <c r="E49" s="188"/>
      <c r="F49" s="55"/>
    </row>
    <row r="50" spans="1:10" ht="15.95" customHeight="1">
      <c r="A50" s="1" t="str">
        <f>VLOOKUP(Tabel_Totaal_werkzaamheden211[[#This Row],[OMSCHRIJVING]],Blad1!A:C,3,FALSE)</f>
        <v>3.4</v>
      </c>
      <c r="B50" s="70" t="s">
        <v>543</v>
      </c>
      <c r="C50" s="66"/>
      <c r="D50" s="54"/>
      <c r="E50" s="188"/>
      <c r="F50" s="55"/>
    </row>
    <row r="51" spans="1:10" ht="15.95" customHeight="1">
      <c r="A51" s="1"/>
      <c r="B51" s="60" t="s">
        <v>545</v>
      </c>
      <c r="C51" s="66" t="s">
        <v>26</v>
      </c>
      <c r="D51" s="54">
        <v>13</v>
      </c>
      <c r="E51" s="188"/>
      <c r="F51" s="55"/>
    </row>
    <row r="52" spans="1:10" ht="15.95" customHeight="1">
      <c r="A52" s="1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VLOOKUP(Tabel_Totaal_werkzaamheden211[[#This Row],[OMSCHRIJVING]],Blad1!A:C,3,FALSE)</f>
        <v>3.5</v>
      </c>
      <c r="B53" s="70" t="s">
        <v>169</v>
      </c>
      <c r="C53" s="66"/>
      <c r="D53" s="54"/>
      <c r="E53" s="188"/>
      <c r="F53" s="55"/>
    </row>
    <row r="54" spans="1:10" ht="15.95" customHeight="1">
      <c r="A54" s="1"/>
      <c r="B54" s="19" t="s">
        <v>179</v>
      </c>
      <c r="C54" s="66" t="s">
        <v>18</v>
      </c>
      <c r="D54" s="54">
        <v>1</v>
      </c>
      <c r="E54" s="188"/>
      <c r="F54" s="55"/>
    </row>
    <row r="55" spans="1:10" ht="15.95" customHeight="1">
      <c r="A55" s="1"/>
      <c r="B55" s="19" t="s">
        <v>170</v>
      </c>
      <c r="C55" s="66" t="s">
        <v>18</v>
      </c>
      <c r="D55" s="54">
        <v>1</v>
      </c>
      <c r="E55" s="188"/>
      <c r="F55" s="55"/>
    </row>
    <row r="56" spans="1:10" ht="15.95" customHeight="1">
      <c r="A56" s="1"/>
      <c r="B56" s="19" t="s">
        <v>178</v>
      </c>
      <c r="C56" s="66" t="s">
        <v>24</v>
      </c>
      <c r="D56" s="54">
        <v>14</v>
      </c>
      <c r="E56" s="188"/>
      <c r="F56" s="55"/>
      <c r="I56" s="71"/>
      <c r="J56" s="71"/>
    </row>
    <row r="57" spans="1:10" ht="15.95" customHeight="1">
      <c r="A57" s="1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VLOOKUP(Tabel_Totaal_werkzaamheden211[[#This Row],[OMSCHRIJVING]],Blad1!A:C,3,FALSE)</f>
        <v>3.6</v>
      </c>
      <c r="B58" s="15" t="s">
        <v>472</v>
      </c>
      <c r="C58" s="66"/>
      <c r="D58" s="54"/>
      <c r="E58" s="188"/>
      <c r="F58" s="55"/>
    </row>
    <row r="59" spans="1:10" ht="15.95" customHeight="1">
      <c r="A59" s="1"/>
      <c r="B59" s="52" t="s">
        <v>186</v>
      </c>
      <c r="C59" s="66" t="s">
        <v>18</v>
      </c>
      <c r="D59" s="54">
        <v>1</v>
      </c>
      <c r="E59" s="188"/>
      <c r="F59" s="55"/>
      <c r="G59" s="67"/>
    </row>
    <row r="60" spans="1:10" ht="15.95" customHeight="1">
      <c r="A60" s="1"/>
      <c r="B60" s="52" t="s">
        <v>167</v>
      </c>
      <c r="C60" s="66" t="s">
        <v>18</v>
      </c>
      <c r="D60" s="54">
        <v>1</v>
      </c>
      <c r="E60" s="188"/>
      <c r="F60" s="55"/>
    </row>
    <row r="61" spans="1:10" ht="15.95" customHeight="1">
      <c r="A61" s="1"/>
      <c r="B61" s="60" t="s">
        <v>172</v>
      </c>
      <c r="C61" s="66" t="s">
        <v>18</v>
      </c>
      <c r="D61" s="54">
        <v>1</v>
      </c>
      <c r="E61" s="188"/>
      <c r="F61" s="55"/>
    </row>
    <row r="62" spans="1:10" ht="15.95" customHeight="1">
      <c r="A62" s="1"/>
      <c r="B62" s="52" t="s">
        <v>23</v>
      </c>
      <c r="C62" s="66" t="s">
        <v>18</v>
      </c>
      <c r="D62" s="54">
        <v>1</v>
      </c>
      <c r="E62" s="188"/>
      <c r="F62" s="55"/>
    </row>
    <row r="63" spans="1:10" ht="15.95" customHeight="1">
      <c r="A63" s="1"/>
      <c r="B63" s="52" t="s">
        <v>25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52" t="s">
        <v>185</v>
      </c>
      <c r="C64" s="66" t="s">
        <v>18</v>
      </c>
      <c r="D64" s="54">
        <v>1</v>
      </c>
      <c r="E64" s="188"/>
      <c r="F64" s="55"/>
      <c r="H64" s="21"/>
    </row>
    <row r="65" spans="1:8" ht="15.95" customHeight="1">
      <c r="A65" s="1"/>
      <c r="B65" s="52" t="s">
        <v>542</v>
      </c>
      <c r="C65" s="66" t="s">
        <v>26</v>
      </c>
      <c r="D65" s="54">
        <v>13</v>
      </c>
      <c r="E65" s="188"/>
      <c r="F65" s="55"/>
    </row>
    <row r="66" spans="1:8" ht="15.95" customHeight="1">
      <c r="A66" s="1"/>
      <c r="B66" s="52" t="s">
        <v>27</v>
      </c>
      <c r="C66" s="66" t="s">
        <v>24</v>
      </c>
      <c r="D66" s="54">
        <v>15.2</v>
      </c>
      <c r="E66" s="188"/>
      <c r="F66" s="55"/>
      <c r="H66" s="21"/>
    </row>
    <row r="67" spans="1:8" ht="15.95" customHeight="1">
      <c r="A67" s="1"/>
      <c r="B67" s="52" t="s">
        <v>181</v>
      </c>
      <c r="C67" s="66" t="s">
        <v>24</v>
      </c>
      <c r="D67" s="54">
        <v>8</v>
      </c>
      <c r="E67" s="188"/>
      <c r="F67" s="55"/>
    </row>
    <row r="68" spans="1:8" ht="15.95" customHeight="1">
      <c r="A68" s="1"/>
      <c r="B68" s="52" t="s">
        <v>171</v>
      </c>
      <c r="C68" s="66" t="s">
        <v>18</v>
      </c>
      <c r="D68" s="54">
        <v>1</v>
      </c>
      <c r="E68" s="188"/>
      <c r="F68" s="55"/>
    </row>
    <row r="69" spans="1:8" ht="15.95" customHeight="1">
      <c r="A69" s="1"/>
      <c r="B69" s="52"/>
      <c r="C69" s="66"/>
      <c r="D69" s="54"/>
      <c r="E69" s="188"/>
      <c r="F69" s="55"/>
    </row>
    <row r="70" spans="1:8" ht="15.95" customHeight="1">
      <c r="A70" s="1" t="str">
        <f>VLOOKUP(Tabel_Totaal_werkzaamheden211[[#This Row],[OMSCHRIJVING]],Blad1!A:C,3,FALSE)</f>
        <v>3.7</v>
      </c>
      <c r="B70" s="70" t="s">
        <v>174</v>
      </c>
      <c r="C70" s="66"/>
      <c r="D70" s="54"/>
      <c r="E70" s="188"/>
      <c r="F70" s="55"/>
    </row>
    <row r="71" spans="1:8" ht="15.95" customHeight="1">
      <c r="A71" s="1"/>
      <c r="B71" s="19" t="s">
        <v>342</v>
      </c>
      <c r="C71" s="66" t="s">
        <v>26</v>
      </c>
      <c r="D71" s="54">
        <v>15</v>
      </c>
      <c r="E71" s="188"/>
      <c r="F71" s="55"/>
    </row>
    <row r="72" spans="1:8" ht="15.95" customHeight="1">
      <c r="A72" s="1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VLOOKUP(Tabel_Totaal_werkzaamheden211[[#This Row],[OMSCHRIJVING]],Blad1!A:C,3,FALSE)</f>
        <v>3.8</v>
      </c>
      <c r="B73" s="72" t="s">
        <v>231</v>
      </c>
      <c r="C73" s="73"/>
      <c r="D73" s="54"/>
      <c r="E73" s="188"/>
      <c r="F73" s="55"/>
    </row>
    <row r="74" spans="1:8" ht="15.95" customHeight="1">
      <c r="A74" s="1"/>
      <c r="B74" s="74" t="s">
        <v>28</v>
      </c>
      <c r="C74" s="73" t="s">
        <v>18</v>
      </c>
      <c r="D74" s="54">
        <v>1</v>
      </c>
      <c r="E74" s="188"/>
      <c r="F74" s="55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VLOOKUP(Tabel_Totaal_werkzaamheden211[[#This Row],[OMSCHRIJVING]],Blad1!A:C,3,FALSE)</f>
        <v>3.9</v>
      </c>
      <c r="B76" s="72" t="s">
        <v>184</v>
      </c>
      <c r="C76" s="73"/>
      <c r="D76" s="54"/>
      <c r="E76" s="188"/>
      <c r="F76" s="55"/>
    </row>
    <row r="77" spans="1:8" s="97" customFormat="1" ht="12.75">
      <c r="A77" s="217" t="s">
        <v>485</v>
      </c>
      <c r="B77" s="74" t="s">
        <v>338</v>
      </c>
      <c r="C77" s="73" t="s">
        <v>18</v>
      </c>
      <c r="D77" s="54">
        <v>1</v>
      </c>
      <c r="E77" s="188"/>
      <c r="F77" s="55"/>
      <c r="G77" s="96"/>
    </row>
    <row r="78" spans="1:8" ht="15.95" customHeight="1">
      <c r="A78" s="1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VLOOKUP(Tabel_Totaal_werkzaamheden211[[#This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"/>
      <c r="B80" s="52" t="s">
        <v>230</v>
      </c>
      <c r="C80" s="66" t="s">
        <v>18</v>
      </c>
      <c r="D80" s="54">
        <v>1</v>
      </c>
      <c r="E80" s="188"/>
      <c r="F80" s="55"/>
    </row>
    <row r="81" spans="1:6" ht="15.95" customHeight="1">
      <c r="A81" s="1" t="str">
        <f>IF(Tabel_Totaal_werkzaamheden211[[#This Row],[OMSCHRIJVING]]="","",_xlfn.XLOOKUP(Tabel_Totaal_werkzaamheden211[[#This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6" s="182" customFormat="1" ht="15.95" customHeight="1">
      <c r="A82" s="211" t="s">
        <v>155</v>
      </c>
      <c r="B82" s="212"/>
      <c r="C82" s="213"/>
      <c r="D82" s="214" t="str">
        <f>B3</f>
        <v>Brug 6 Vlinderveen</v>
      </c>
      <c r="E82" s="215" t="str">
        <f>A3</f>
        <v>EEK-07</v>
      </c>
      <c r="F82" s="216">
        <f>SUBTOTAL(109,Tabel_Totaal_werkzaamheden211[TOTAALBEDRAG IN EURO])</f>
        <v>0</v>
      </c>
    </row>
    <row r="83" spans="1:6" ht="15.95" customHeight="1">
      <c r="A83" s="15"/>
      <c r="B83" s="52"/>
      <c r="C83" s="52"/>
      <c r="D83" s="76"/>
      <c r="E83" s="191"/>
      <c r="F83" s="77"/>
    </row>
    <row r="84" spans="1:6" ht="15.95" customHeight="1">
      <c r="A84" s="15"/>
      <c r="B84" s="52"/>
      <c r="C84" s="52"/>
      <c r="D84" s="76"/>
      <c r="E84" s="191"/>
      <c r="F84" s="77"/>
    </row>
    <row r="85" spans="1:6" ht="15.95" customHeight="1">
      <c r="A85" s="15"/>
      <c r="B85" s="52"/>
      <c r="C85" s="52"/>
      <c r="D85" s="76"/>
      <c r="E85" s="191"/>
      <c r="F85" s="77"/>
    </row>
    <row r="86" spans="1:6" ht="15.95" customHeight="1">
      <c r="A86" s="15"/>
      <c r="B86" s="52"/>
      <c r="C86" s="52"/>
      <c r="D86" s="76"/>
      <c r="E86" s="191"/>
      <c r="F86" s="77"/>
    </row>
    <row r="87" spans="1:6" ht="15.95" customHeight="1">
      <c r="A87" s="15"/>
      <c r="B87" s="52"/>
      <c r="C87" s="52"/>
      <c r="D87" s="76"/>
      <c r="E87" s="191"/>
      <c r="F87" s="77"/>
    </row>
    <row r="88" spans="1:6" ht="15.95" customHeight="1">
      <c r="A88" s="15"/>
      <c r="B88" s="52"/>
      <c r="C88" s="52"/>
      <c r="D88" s="76"/>
      <c r="E88" s="191"/>
      <c r="F88" s="77"/>
    </row>
    <row r="89" spans="1:6" ht="15.95" customHeight="1">
      <c r="A89" s="15"/>
      <c r="B89" s="52"/>
      <c r="C89" s="52"/>
      <c r="D89" s="76"/>
      <c r="E89" s="191"/>
      <c r="F89" s="77"/>
    </row>
    <row r="90" spans="1:6" ht="15.95" customHeight="1">
      <c r="A90" s="15"/>
      <c r="B90" s="52"/>
      <c r="C90" s="52"/>
      <c r="D90" s="76"/>
      <c r="E90" s="191"/>
      <c r="F90" s="77"/>
    </row>
    <row r="91" spans="1:6" ht="15.95" customHeight="1">
      <c r="A91" s="15"/>
      <c r="B91" s="52"/>
      <c r="C91" s="52"/>
      <c r="D91" s="76"/>
      <c r="E91" s="191"/>
      <c r="F91" s="77"/>
    </row>
    <row r="92" spans="1:6" ht="15.95" customHeight="1">
      <c r="E92" s="192"/>
    </row>
    <row r="93" spans="1:6" ht="15.95" customHeight="1">
      <c r="E93" s="192"/>
    </row>
    <row r="94" spans="1:6" ht="15.95" customHeight="1">
      <c r="E94" s="192"/>
    </row>
    <row r="95" spans="1:6" ht="15.95" customHeight="1">
      <c r="E95" s="192"/>
    </row>
    <row r="96" spans="1:6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honeticPr fontId="17" type="noConversion"/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62</v>
      </c>
      <c r="B3" s="23" t="s">
        <v>63</v>
      </c>
      <c r="C3" s="24"/>
      <c r="D3" s="24"/>
      <c r="E3" s="25"/>
      <c r="F3" s="26"/>
    </row>
    <row r="4" spans="1:10" ht="15.75" customHeight="1">
      <c r="A4" s="27"/>
      <c r="B4" s="28" t="s">
        <v>297</v>
      </c>
      <c r="C4" s="29" t="s">
        <v>225</v>
      </c>
      <c r="D4" s="30" t="s">
        <v>350</v>
      </c>
      <c r="E4" s="31" t="s">
        <v>298</v>
      </c>
      <c r="F4" s="32"/>
    </row>
    <row r="5" spans="1:10" ht="15.75" customHeight="1">
      <c r="A5" s="27"/>
      <c r="B5" s="28" t="s">
        <v>315</v>
      </c>
      <c r="C5" s="29" t="s">
        <v>225</v>
      </c>
      <c r="D5" s="30" t="s">
        <v>350</v>
      </c>
      <c r="E5" s="31" t="s">
        <v>299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IF(Tabel_Totaal_werkzaamheden213[[#This Row],[OMSCHRIJVING]]="","",_xlfn.XLOOKUP(Tabel_Totaal_werkzaamheden213[[#This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VLOOKUP(Tabel_Totaal_werkzaamheden213[[#This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60"/>
      <c r="C12" s="61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VLOOKUP(Tabel_Totaal_werkzaamheden213[[#This Row],[OMSCHRIJVING]],Blad1!A:C,3,FALSE)</f>
        <v>2.4.21</v>
      </c>
      <c r="B13" s="56" t="s">
        <v>29</v>
      </c>
      <c r="C13" s="61"/>
      <c r="D13" s="54"/>
      <c r="E13" s="188"/>
      <c r="F13" s="55"/>
      <c r="H13" s="19"/>
      <c r="I13" s="19"/>
      <c r="J13" s="19"/>
    </row>
    <row r="14" spans="1:10" s="21" customFormat="1" ht="15.95" customHeight="1">
      <c r="A14" s="1"/>
      <c r="B14" s="60" t="s">
        <v>17</v>
      </c>
      <c r="C14" s="66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VLOOKUP(Tabel_Totaal_werkzaamheden213[[#This Row],[OMSCHRIJVING]],Blad1!A:C,3,FALSE)</f>
        <v>2.4.22</v>
      </c>
      <c r="B16" s="56" t="s">
        <v>159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36</v>
      </c>
      <c r="C17" s="66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 t="s">
        <v>19</v>
      </c>
      <c r="C18" s="66" t="s">
        <v>18</v>
      </c>
      <c r="D18" s="54">
        <v>1</v>
      </c>
      <c r="E18" s="188"/>
      <c r="F18" s="55"/>
      <c r="H18" s="19"/>
      <c r="I18" s="19"/>
      <c r="J18" s="19"/>
    </row>
    <row r="19" spans="1:10" s="21" customFormat="1" ht="15.95" customHeight="1">
      <c r="A19" s="1"/>
      <c r="B19" s="52"/>
      <c r="C19" s="66"/>
      <c r="D19" s="54"/>
      <c r="E19" s="188"/>
      <c r="F19" s="55"/>
      <c r="H19" s="19"/>
      <c r="I19" s="19"/>
      <c r="J19" s="19"/>
    </row>
    <row r="20" spans="1:10" ht="15.95" customHeight="1">
      <c r="A20" s="1" t="str">
        <f>VLOOKUP(Tabel_Totaal_werkzaamheden213[[#This Row],[OMSCHRIJVING]],Blad1!A:C,3,FALSE)</f>
        <v>2.4.30</v>
      </c>
      <c r="B20" s="15" t="s">
        <v>394</v>
      </c>
      <c r="C20" s="66"/>
      <c r="D20" s="54"/>
      <c r="E20" s="188"/>
      <c r="F20" s="55"/>
    </row>
    <row r="21" spans="1:10" ht="15.95" customHeight="1">
      <c r="A21" s="1"/>
      <c r="B21" s="52" t="s">
        <v>229</v>
      </c>
      <c r="C21" s="66" t="s">
        <v>18</v>
      </c>
      <c r="D21" s="54">
        <v>1</v>
      </c>
      <c r="E21" s="188"/>
      <c r="F21" s="55"/>
    </row>
    <row r="22" spans="1:10" ht="15.95" customHeight="1">
      <c r="A22" s="1"/>
      <c r="B22" s="52" t="s">
        <v>20</v>
      </c>
      <c r="C22" s="66" t="s">
        <v>18</v>
      </c>
      <c r="D22" s="54">
        <v>1</v>
      </c>
      <c r="E22" s="188"/>
      <c r="F22" s="55"/>
    </row>
    <row r="23" spans="1:10" ht="15.95" customHeight="1">
      <c r="A23" s="1"/>
      <c r="B23" s="52"/>
      <c r="C23" s="66"/>
      <c r="D23" s="54"/>
      <c r="E23" s="188"/>
      <c r="F23" s="55"/>
    </row>
    <row r="24" spans="1:10" ht="15.95" customHeight="1">
      <c r="A24" s="1" t="str">
        <f>VLOOKUP(Tabel_Totaal_werkzaamheden213[[#This Row],[OMSCHRIJVING]],Blad1!A:C,3,FALSE)</f>
        <v>2.4.31</v>
      </c>
      <c r="B24" s="56" t="s">
        <v>396</v>
      </c>
      <c r="C24" s="66"/>
      <c r="D24" s="54"/>
      <c r="E24" s="188"/>
      <c r="F24" s="55"/>
    </row>
    <row r="25" spans="1:10" ht="15.95" customHeight="1">
      <c r="A25" s="1"/>
      <c r="B25" s="52" t="s">
        <v>21</v>
      </c>
      <c r="C25" s="66" t="s">
        <v>18</v>
      </c>
      <c r="D25" s="54">
        <v>1</v>
      </c>
      <c r="E25" s="188"/>
      <c r="F25" s="55"/>
    </row>
    <row r="26" spans="1:10" ht="15.95" customHeight="1">
      <c r="A26" s="1"/>
      <c r="B26" s="52"/>
      <c r="C26" s="66"/>
      <c r="D26" s="54"/>
      <c r="E26" s="188"/>
      <c r="F26" s="55"/>
    </row>
    <row r="27" spans="1:10" ht="15.95" customHeight="1">
      <c r="A27" s="1" t="str">
        <f>VLOOKUP(Tabel_Totaal_werkzaamheden213[[#This Row],[OMSCHRIJVING]],Blad1!A:C,3,FALSE)</f>
        <v>2.4.34</v>
      </c>
      <c r="B27" s="15" t="s">
        <v>161</v>
      </c>
      <c r="C27" s="66"/>
      <c r="D27" s="54"/>
      <c r="E27" s="188"/>
      <c r="F27" s="55"/>
    </row>
    <row r="28" spans="1:10" ht="15.95" customHeight="1">
      <c r="A28" s="1"/>
      <c r="B28" s="60" t="s">
        <v>39</v>
      </c>
      <c r="C28" s="66" t="s">
        <v>18</v>
      </c>
      <c r="D28" s="54">
        <v>1</v>
      </c>
      <c r="E28" s="188"/>
      <c r="F28" s="55"/>
      <c r="G28" s="67"/>
    </row>
    <row r="29" spans="1:10" ht="15.95" customHeight="1">
      <c r="A29" s="1"/>
      <c r="B29" s="68"/>
      <c r="C29" s="66"/>
      <c r="D29" s="54"/>
      <c r="E29" s="188"/>
      <c r="F29" s="55"/>
    </row>
    <row r="30" spans="1:10" ht="15.95" customHeight="1">
      <c r="A30" s="1" t="str">
        <f>VLOOKUP(Tabel_Totaal_werkzaamheden213[[#This Row],[OMSCHRIJVING]],Blad1!A:C,3,FALSE)</f>
        <v>2.5.3</v>
      </c>
      <c r="B30" s="15" t="s">
        <v>227</v>
      </c>
      <c r="C30" s="66"/>
      <c r="D30" s="54"/>
      <c r="E30" s="188"/>
      <c r="F30" s="55"/>
    </row>
    <row r="31" spans="1:10" ht="15.95" customHeight="1">
      <c r="A31" s="1"/>
      <c r="B31" s="68" t="s">
        <v>38</v>
      </c>
      <c r="C31" s="66" t="s">
        <v>18</v>
      </c>
      <c r="D31" s="54">
        <v>1</v>
      </c>
      <c r="E31" s="188"/>
      <c r="F31" s="55"/>
      <c r="J31" s="69"/>
    </row>
    <row r="32" spans="1:10" ht="15.95" customHeight="1">
      <c r="A32" s="1"/>
      <c r="B32" s="52"/>
      <c r="C32" s="66"/>
      <c r="D32" s="54"/>
      <c r="E32" s="188"/>
      <c r="F32" s="55"/>
    </row>
    <row r="33" spans="1:9" ht="15.95" customHeight="1">
      <c r="A33" s="1" t="str">
        <f>VLOOKUP(Tabel_Totaal_werkzaamheden213[[#This Row],[OMSCHRIJVING]],Blad1!A:C,3,FALSE)</f>
        <v>3.3</v>
      </c>
      <c r="B33" s="15" t="s">
        <v>457</v>
      </c>
      <c r="C33" s="66"/>
      <c r="D33" s="54"/>
      <c r="E33" s="188"/>
      <c r="F33" s="55"/>
    </row>
    <row r="34" spans="1:9" s="164" customFormat="1" ht="15.95" customHeight="1">
      <c r="A34" s="1"/>
      <c r="B34" s="161" t="s">
        <v>240</v>
      </c>
      <c r="C34" s="162" t="s">
        <v>18</v>
      </c>
      <c r="D34" s="156">
        <v>1</v>
      </c>
      <c r="E34" s="193"/>
      <c r="F34" s="157"/>
      <c r="G34" s="163"/>
    </row>
    <row r="35" spans="1:9" s="164" customFormat="1" ht="15.95" customHeight="1">
      <c r="A35" s="1"/>
      <c r="B35" s="98" t="s">
        <v>335</v>
      </c>
      <c r="C35" s="162" t="s">
        <v>26</v>
      </c>
      <c r="D35" s="156">
        <v>10</v>
      </c>
      <c r="E35" s="193"/>
      <c r="F35" s="157"/>
      <c r="G35" s="163"/>
      <c r="I35" s="163"/>
    </row>
    <row r="36" spans="1:9" s="164" customFormat="1" ht="15.95" customHeight="1">
      <c r="A36" s="1"/>
      <c r="B36" s="98" t="s">
        <v>336</v>
      </c>
      <c r="C36" s="162" t="s">
        <v>18</v>
      </c>
      <c r="D36" s="156">
        <v>1</v>
      </c>
      <c r="E36" s="193"/>
      <c r="F36" s="157"/>
      <c r="G36" s="163"/>
      <c r="I36" s="163"/>
    </row>
    <row r="37" spans="1:9" ht="15.95" customHeight="1">
      <c r="A37" s="1"/>
      <c r="B37" s="52"/>
      <c r="C37" s="66"/>
      <c r="D37" s="54"/>
      <c r="E37" s="188"/>
      <c r="F37" s="55"/>
    </row>
    <row r="38" spans="1:9" ht="15.95" customHeight="1">
      <c r="A38" s="1" t="str">
        <f>VLOOKUP(Tabel_Totaal_werkzaamheden213[[#This Row],[OMSCHRIJVING]],Blad1!A:C,3,FALSE)</f>
        <v>3.8</v>
      </c>
      <c r="B38" s="72" t="s">
        <v>231</v>
      </c>
      <c r="C38" s="73"/>
      <c r="D38" s="54"/>
      <c r="E38" s="188"/>
      <c r="F38" s="55"/>
    </row>
    <row r="39" spans="1:9" ht="15.95" customHeight="1">
      <c r="A39" s="1"/>
      <c r="B39" s="74" t="s">
        <v>289</v>
      </c>
      <c r="C39" s="73" t="s">
        <v>18</v>
      </c>
      <c r="D39" s="54">
        <v>1</v>
      </c>
      <c r="E39" s="188"/>
      <c r="F39" s="55"/>
    </row>
    <row r="40" spans="1:9" ht="15.95" customHeight="1">
      <c r="A40" s="1" t="str">
        <f>IF(Tabel_Totaal_werkzaamheden213[[#This Row],[OMSCHRIJVING]]="","",_xlfn.XLOOKUP(Tabel_Totaal_werkzaamheden213[[#This Row],[OMSCHRIJVING]],Verwijzingsblad!$B$2:$B$186,Verwijzingsblad!$A$2:$A$186,""))</f>
        <v/>
      </c>
      <c r="B40" s="52"/>
      <c r="C40" s="66"/>
      <c r="D40" s="54"/>
      <c r="E40" s="188"/>
      <c r="F40" s="55"/>
    </row>
    <row r="41" spans="1:9" ht="15.95" customHeight="1">
      <c r="A41" s="205" t="s">
        <v>155</v>
      </c>
      <c r="B41" s="206"/>
      <c r="C41" s="207"/>
      <c r="D41" s="208" t="str">
        <f>B3</f>
        <v>Brug 8 Vlinderveen</v>
      </c>
      <c r="E41" s="209" t="str">
        <f>A3</f>
        <v>EEK-09</v>
      </c>
      <c r="F41" s="210">
        <f>SUBTOTAL(109,Tabel_Totaal_werkzaamheden213[TOTAALBEDRAG IN EURO])</f>
        <v>0</v>
      </c>
      <c r="G41" s="75"/>
    </row>
    <row r="42" spans="1:9" ht="15.95" customHeight="1">
      <c r="A42" s="15"/>
      <c r="B42" s="52"/>
      <c r="C42" s="52"/>
      <c r="D42" s="76"/>
      <c r="E42" s="191"/>
      <c r="F42" s="77"/>
    </row>
    <row r="43" spans="1:9" ht="15.95" customHeight="1">
      <c r="A43" s="15"/>
      <c r="B43" s="52"/>
      <c r="C43" s="52"/>
      <c r="D43" s="76"/>
      <c r="E43" s="191"/>
      <c r="F43" s="77"/>
    </row>
    <row r="44" spans="1:9" ht="15.95" customHeight="1">
      <c r="A44" s="15"/>
      <c r="B44" s="52"/>
      <c r="C44" s="52"/>
      <c r="D44" s="76"/>
      <c r="E44" s="191"/>
      <c r="F44" s="77"/>
    </row>
    <row r="45" spans="1:9" ht="15.95" customHeight="1">
      <c r="A45" s="15"/>
      <c r="B45" s="52"/>
      <c r="C45" s="52"/>
      <c r="D45" s="76"/>
      <c r="E45" s="191"/>
      <c r="F45" s="77"/>
    </row>
    <row r="46" spans="1:9" ht="15.95" customHeight="1">
      <c r="A46" s="15"/>
      <c r="B46" s="52"/>
      <c r="C46" s="52"/>
      <c r="D46" s="76"/>
      <c r="E46" s="191"/>
      <c r="F46" s="77"/>
    </row>
    <row r="47" spans="1:9" ht="15.95" customHeight="1">
      <c r="A47" s="15"/>
      <c r="B47" s="52"/>
      <c r="C47" s="52"/>
      <c r="D47" s="76"/>
      <c r="E47" s="191"/>
      <c r="F47" s="77"/>
    </row>
    <row r="48" spans="1:9" ht="15.95" customHeight="1">
      <c r="A48" s="15"/>
      <c r="B48" s="52"/>
      <c r="C48" s="52"/>
      <c r="D48" s="76"/>
      <c r="E48" s="191"/>
      <c r="F48" s="77"/>
    </row>
    <row r="49" spans="1:6" ht="15.95" customHeight="1">
      <c r="A49" s="15"/>
      <c r="B49" s="52"/>
      <c r="C49" s="52"/>
      <c r="D49" s="76"/>
      <c r="E49" s="191"/>
      <c r="F49" s="77"/>
    </row>
    <row r="50" spans="1:6" ht="15.95" customHeight="1">
      <c r="A50" s="15"/>
      <c r="B50" s="52"/>
      <c r="C50" s="52"/>
      <c r="D50" s="76"/>
      <c r="E50" s="191"/>
      <c r="F50" s="77"/>
    </row>
    <row r="51" spans="1:6" ht="15.95" customHeight="1">
      <c r="E51" s="192"/>
    </row>
    <row r="52" spans="1:6" ht="15.95" customHeight="1">
      <c r="E52" s="192"/>
    </row>
    <row r="53" spans="1:6" ht="15.95" customHeight="1">
      <c r="E53" s="192"/>
    </row>
    <row r="54" spans="1:6" ht="15.95" customHeight="1">
      <c r="E54" s="192"/>
    </row>
    <row r="55" spans="1:6" ht="15.95" customHeight="1">
      <c r="E55" s="192"/>
    </row>
    <row r="56" spans="1:6" ht="15.95" customHeight="1">
      <c r="E56" s="192"/>
    </row>
    <row r="57" spans="1:6" ht="15.95" customHeight="1">
      <c r="E57" s="192"/>
    </row>
    <row r="58" spans="1:6" ht="15.95" customHeight="1">
      <c r="E58" s="192"/>
    </row>
    <row r="59" spans="1:6" ht="15.95" customHeight="1">
      <c r="E59" s="192"/>
    </row>
    <row r="60" spans="1:6" ht="15.95" customHeight="1">
      <c r="E60" s="192"/>
    </row>
    <row r="61" spans="1:6" ht="15.95" customHeight="1">
      <c r="E61" s="192"/>
    </row>
    <row r="62" spans="1:6" ht="15.95" customHeight="1">
      <c r="E62" s="192"/>
    </row>
    <row r="63" spans="1:6" ht="15.95" customHeight="1">
      <c r="E63" s="192"/>
    </row>
    <row r="64" spans="1:6" ht="15.95" customHeight="1">
      <c r="E64" s="192"/>
    </row>
    <row r="65" spans="5:5" ht="15.95" customHeight="1">
      <c r="E65" s="192"/>
    </row>
    <row r="66" spans="5:5" ht="15.95" customHeight="1">
      <c r="E66" s="192"/>
    </row>
    <row r="67" spans="5:5" ht="15.95" customHeight="1">
      <c r="E67" s="192"/>
    </row>
    <row r="68" spans="5:5" ht="15.95" customHeight="1">
      <c r="E68" s="192"/>
    </row>
    <row r="69" spans="5:5" ht="15.95" customHeight="1">
      <c r="E69" s="192"/>
    </row>
    <row r="70" spans="5:5" ht="15.95" customHeight="1">
      <c r="E70" s="192"/>
    </row>
    <row r="71" spans="5:5" ht="15.95" customHeight="1">
      <c r="E71" s="192"/>
    </row>
    <row r="72" spans="5:5" ht="15.95" customHeight="1">
      <c r="E72" s="192"/>
    </row>
    <row r="73" spans="5:5" ht="15.95" customHeight="1">
      <c r="E73" s="192"/>
    </row>
    <row r="74" spans="5:5" ht="15.95" customHeight="1">
      <c r="E74" s="192"/>
    </row>
    <row r="75" spans="5:5" ht="15.95" customHeight="1">
      <c r="E75" s="192"/>
    </row>
    <row r="76" spans="5:5" ht="15.95" customHeight="1">
      <c r="E76" s="192"/>
    </row>
    <row r="77" spans="5:5" ht="15.95" customHeight="1">
      <c r="E77" s="192"/>
    </row>
    <row r="78" spans="5:5" ht="15.95" customHeight="1">
      <c r="E78" s="192"/>
    </row>
    <row r="79" spans="5:5" ht="15.95" customHeight="1">
      <c r="E79" s="192"/>
    </row>
    <row r="80" spans="5:5" ht="15.95" customHeight="1">
      <c r="E80" s="192"/>
    </row>
    <row r="81" spans="5:5" ht="15.95" customHeight="1">
      <c r="E81" s="192"/>
    </row>
    <row r="82" spans="5:5" ht="15.95" customHeight="1">
      <c r="E82" s="192"/>
    </row>
    <row r="83" spans="5:5" ht="15.95" customHeight="1">
      <c r="E83" s="192"/>
    </row>
    <row r="84" spans="5:5" ht="15.95" customHeight="1">
      <c r="E84" s="192"/>
    </row>
    <row r="85" spans="5:5" ht="15.95" customHeight="1">
      <c r="E85" s="192"/>
    </row>
    <row r="86" spans="5:5" ht="15.95" customHeight="1">
      <c r="E86" s="192"/>
    </row>
    <row r="87" spans="5:5" ht="15.95" customHeight="1">
      <c r="E87" s="192"/>
    </row>
    <row r="88" spans="5:5" ht="15.95" customHeight="1">
      <c r="E88" s="192"/>
    </row>
    <row r="89" spans="5:5" ht="15.95" customHeight="1">
      <c r="E89" s="192"/>
    </row>
    <row r="90" spans="5:5" ht="15.95" customHeight="1">
      <c r="E90" s="192"/>
    </row>
    <row r="91" spans="5:5" ht="15.95" customHeight="1">
      <c r="E91" s="192"/>
    </row>
    <row r="92" spans="5:5" ht="15.95" customHeight="1">
      <c r="E92" s="192"/>
    </row>
    <row r="93" spans="5:5" ht="15.95" customHeight="1">
      <c r="E93" s="192"/>
    </row>
    <row r="94" spans="5:5" ht="15.95" customHeight="1">
      <c r="E94" s="192"/>
    </row>
    <row r="95" spans="5:5" ht="15.95" customHeight="1">
      <c r="E95" s="192"/>
    </row>
    <row r="96" spans="5:5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64</v>
      </c>
      <c r="B3" s="23" t="s">
        <v>65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1.6</v>
      </c>
      <c r="E4" s="31" t="s">
        <v>300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11.5</v>
      </c>
      <c r="E5" s="31" t="s">
        <v>301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IF(Tabel_Totaal_werkzaamheden214[[#This Row],[OMSCHRIJVING]]="","",_xlfn.XLOOKUP(Tabel_Totaal_werkzaamheden214[[#This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VLOOKUP(Tabel_Totaal_werkzaamheden214[[#This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VLOOKUP(Tabel_Totaal_werkzaamheden214[[#This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VLOOKUP(Tabel_Totaal_werkzaamheden214[[#This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VLOOKUP(Tabel_Totaal_werkzaamheden214[[#This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VLOOKUP(Tabel_Totaal_werkzaamheden214[[#This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VLOOKUP(Tabel_Totaal_werkzaamheden214[[#This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VLOOKUP(Tabel_Totaal_werkzaamheden214[[#This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VLOOKUP(Tabel_Totaal_werkzaamheden214[[#This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VLOOKUP(Tabel_Totaal_werkzaamheden214[[#This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VLOOKUP(Tabel_Totaal_werkzaamheden214[[#This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VLOOKUP(Tabel_Totaal_werkzaamheden214[[#This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VLOOKUP(Tabel_Totaal_werkzaamheden214[[#This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 t="s">
        <v>238</v>
      </c>
      <c r="C48" s="66" t="s">
        <v>26</v>
      </c>
      <c r="D48" s="54">
        <v>4</v>
      </c>
      <c r="E48" s="188"/>
      <c r="F48" s="55"/>
    </row>
    <row r="49" spans="1:10" ht="15.95" customHeight="1">
      <c r="A49" s="1"/>
      <c r="B49" s="52" t="s">
        <v>339</v>
      </c>
      <c r="C49" s="66" t="s">
        <v>26</v>
      </c>
      <c r="D49" s="54">
        <v>6</v>
      </c>
      <c r="E49" s="188"/>
      <c r="F49" s="55"/>
      <c r="I49" s="21"/>
    </row>
    <row r="50" spans="1:10" ht="15.95" customHeight="1">
      <c r="A50" s="1"/>
      <c r="B50" s="52"/>
      <c r="C50" s="66"/>
      <c r="D50" s="54"/>
      <c r="E50" s="188"/>
      <c r="F50" s="55"/>
    </row>
    <row r="51" spans="1:10" ht="15.95" customHeight="1">
      <c r="A51" s="1" t="str">
        <f>VLOOKUP(Tabel_Totaal_werkzaamheden214[[#This Row],[OMSCHRIJVING]],Blad1!A:C,3,FALSE)</f>
        <v>3.4</v>
      </c>
      <c r="B51" s="70" t="s">
        <v>543</v>
      </c>
      <c r="C51" s="66"/>
      <c r="D51" s="54"/>
      <c r="E51" s="188"/>
      <c r="F51" s="55"/>
    </row>
    <row r="52" spans="1:10" ht="15.95" customHeight="1">
      <c r="A52" s="1"/>
      <c r="B52" s="60" t="s">
        <v>545</v>
      </c>
      <c r="C52" s="66" t="s">
        <v>26</v>
      </c>
      <c r="D52" s="54">
        <v>19</v>
      </c>
      <c r="E52" s="188"/>
      <c r="F52" s="55"/>
    </row>
    <row r="53" spans="1:10" ht="15.95" customHeight="1">
      <c r="A53" s="1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VLOOKUP(Tabel_Totaal_werkzaamheden214[[#This Row],[OMSCHRIJVING]],Blad1!A:C,3,FALSE)</f>
        <v>3.5</v>
      </c>
      <c r="B54" s="70" t="s">
        <v>169</v>
      </c>
      <c r="C54" s="66"/>
      <c r="D54" s="54"/>
      <c r="E54" s="188"/>
      <c r="F54" s="55"/>
    </row>
    <row r="55" spans="1:10" ht="15.95" customHeight="1">
      <c r="A55" s="1"/>
      <c r="B55" s="19" t="s">
        <v>179</v>
      </c>
      <c r="C55" s="66" t="s">
        <v>18</v>
      </c>
      <c r="D55" s="54">
        <v>1</v>
      </c>
      <c r="E55" s="188"/>
      <c r="F55" s="55"/>
    </row>
    <row r="56" spans="1:10" ht="15.95" customHeight="1">
      <c r="A56" s="1"/>
      <c r="B56" s="19" t="s">
        <v>170</v>
      </c>
      <c r="C56" s="66" t="s">
        <v>18</v>
      </c>
      <c r="D56" s="54">
        <v>1</v>
      </c>
      <c r="E56" s="188"/>
      <c r="F56" s="55"/>
    </row>
    <row r="57" spans="1:10" ht="15.95" customHeight="1">
      <c r="A57" s="1"/>
      <c r="B57" s="19" t="s">
        <v>178</v>
      </c>
      <c r="C57" s="66" t="s">
        <v>24</v>
      </c>
      <c r="D57" s="54">
        <v>23</v>
      </c>
      <c r="E57" s="188"/>
      <c r="F57" s="55"/>
      <c r="I57" s="71"/>
      <c r="J57" s="71"/>
    </row>
    <row r="58" spans="1:10" ht="15.95" customHeight="1">
      <c r="A58" s="1"/>
      <c r="B58" s="52"/>
      <c r="C58" s="66"/>
      <c r="D58" s="54"/>
      <c r="E58" s="188"/>
      <c r="F58" s="55"/>
    </row>
    <row r="59" spans="1:10" ht="15.95" customHeight="1">
      <c r="A59" s="1" t="str">
        <f>VLOOKUP(Tabel_Totaal_werkzaamheden214[[#This Row],[OMSCHRIJVING]],Blad1!A:C,3,FALSE)</f>
        <v>3.6</v>
      </c>
      <c r="B59" s="15" t="s">
        <v>472</v>
      </c>
      <c r="C59" s="66"/>
      <c r="D59" s="54"/>
      <c r="E59" s="188"/>
      <c r="F59" s="55"/>
    </row>
    <row r="60" spans="1:10" ht="15.95" customHeight="1">
      <c r="A60" s="1"/>
      <c r="B60" s="52" t="s">
        <v>186</v>
      </c>
      <c r="C60" s="66" t="s">
        <v>18</v>
      </c>
      <c r="D60" s="54">
        <v>1</v>
      </c>
      <c r="E60" s="188"/>
      <c r="F60" s="55"/>
      <c r="G60" s="67"/>
    </row>
    <row r="61" spans="1:10" ht="15.95" customHeight="1">
      <c r="A61" s="1"/>
      <c r="B61" s="52" t="s">
        <v>167</v>
      </c>
      <c r="C61" s="66" t="s">
        <v>18</v>
      </c>
      <c r="D61" s="54">
        <v>1</v>
      </c>
      <c r="E61" s="188"/>
      <c r="F61" s="55"/>
    </row>
    <row r="62" spans="1:10" ht="15.95" customHeight="1">
      <c r="A62" s="1"/>
      <c r="B62" s="60" t="s">
        <v>172</v>
      </c>
      <c r="C62" s="66" t="s">
        <v>18</v>
      </c>
      <c r="D62" s="54">
        <v>1</v>
      </c>
      <c r="E62" s="188"/>
      <c r="F62" s="55"/>
    </row>
    <row r="63" spans="1:10" ht="15.95" customHeight="1">
      <c r="A63" s="1"/>
      <c r="B63" s="52" t="s">
        <v>23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52" t="s">
        <v>25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52" t="s">
        <v>185</v>
      </c>
      <c r="C65" s="66" t="s">
        <v>18</v>
      </c>
      <c r="D65" s="54">
        <v>1</v>
      </c>
      <c r="E65" s="188"/>
      <c r="F65" s="55"/>
      <c r="H65" s="21"/>
    </row>
    <row r="66" spans="1:8" ht="15.95" customHeight="1">
      <c r="A66" s="1"/>
      <c r="B66" s="52" t="s">
        <v>542</v>
      </c>
      <c r="C66" s="66" t="s">
        <v>26</v>
      </c>
      <c r="D66" s="54">
        <v>19</v>
      </c>
      <c r="E66" s="188"/>
      <c r="F66" s="55"/>
    </row>
    <row r="67" spans="1:8" ht="15.95" customHeight="1">
      <c r="A67" s="1"/>
      <c r="B67" s="52" t="s">
        <v>27</v>
      </c>
      <c r="C67" s="66" t="s">
        <v>24</v>
      </c>
      <c r="D67" s="54">
        <v>23</v>
      </c>
      <c r="E67" s="188"/>
      <c r="F67" s="55"/>
    </row>
    <row r="68" spans="1:8" ht="15.95" customHeight="1">
      <c r="A68" s="1"/>
      <c r="B68" s="52" t="s">
        <v>181</v>
      </c>
      <c r="C68" s="66" t="s">
        <v>24</v>
      </c>
      <c r="D68" s="54">
        <v>12</v>
      </c>
      <c r="E68" s="188"/>
      <c r="F68" s="55"/>
    </row>
    <row r="69" spans="1:8" ht="15.95" customHeight="1">
      <c r="A69" s="1"/>
      <c r="B69" s="52" t="s">
        <v>171</v>
      </c>
      <c r="C69" s="66" t="s">
        <v>18</v>
      </c>
      <c r="D69" s="54">
        <v>1</v>
      </c>
      <c r="E69" s="188"/>
      <c r="F69" s="55"/>
    </row>
    <row r="70" spans="1:8" ht="15.95" customHeight="1">
      <c r="A70" s="1"/>
      <c r="B70" s="52"/>
      <c r="C70" s="66"/>
      <c r="D70" s="54"/>
      <c r="E70" s="188"/>
      <c r="F70" s="55"/>
    </row>
    <row r="71" spans="1:8" ht="15.95" customHeight="1">
      <c r="A71" s="1" t="str">
        <f>VLOOKUP(Tabel_Totaal_werkzaamheden214[[#This Row],[OMSCHRIJVING]],Blad1!A:C,3,FALSE)</f>
        <v>3.7</v>
      </c>
      <c r="B71" s="70" t="s">
        <v>174</v>
      </c>
      <c r="C71" s="66"/>
      <c r="D71" s="54"/>
      <c r="E71" s="188"/>
      <c r="F71" s="55"/>
    </row>
    <row r="72" spans="1:8" ht="15.95" customHeight="1">
      <c r="A72" s="1"/>
      <c r="B72" s="19" t="s">
        <v>239</v>
      </c>
      <c r="C72" s="66" t="s">
        <v>26</v>
      </c>
      <c r="D72" s="54">
        <v>4</v>
      </c>
      <c r="E72" s="188"/>
      <c r="F72" s="55"/>
    </row>
    <row r="73" spans="1:8" s="164" customFormat="1" ht="25.5">
      <c r="A73" s="1"/>
      <c r="B73" s="164" t="s">
        <v>343</v>
      </c>
      <c r="C73" s="162" t="s">
        <v>26</v>
      </c>
      <c r="D73" s="156">
        <v>6</v>
      </c>
      <c r="E73" s="193"/>
      <c r="F73" s="157"/>
      <c r="G73" s="163"/>
    </row>
    <row r="74" spans="1:8" ht="15.95" customHeight="1">
      <c r="A74" s="1"/>
      <c r="B74" s="52"/>
      <c r="C74" s="66"/>
      <c r="D74" s="54"/>
      <c r="E74" s="188"/>
      <c r="F74" s="55"/>
    </row>
    <row r="75" spans="1:8" ht="15.95" customHeight="1">
      <c r="A75" s="1" t="str">
        <f>VLOOKUP(Tabel_Totaal_werkzaamheden214[[#This Row],[OMSCHRIJVING]],Blad1!A:C,3,FALSE)</f>
        <v>3.8</v>
      </c>
      <c r="B75" s="72" t="s">
        <v>231</v>
      </c>
      <c r="C75" s="73"/>
      <c r="D75" s="54"/>
      <c r="E75" s="188"/>
      <c r="F75" s="55"/>
    </row>
    <row r="76" spans="1:8" ht="15.95" customHeight="1">
      <c r="A76" s="1"/>
      <c r="B76" s="74" t="s">
        <v>28</v>
      </c>
      <c r="C76" s="73" t="s">
        <v>18</v>
      </c>
      <c r="D76" s="54">
        <v>1</v>
      </c>
      <c r="E76" s="188"/>
      <c r="F76" s="55"/>
    </row>
    <row r="77" spans="1:8" ht="15.95" customHeight="1">
      <c r="A77" s="1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VLOOKUP(Tabel_Totaal_werkzaamheden214[[#This Row],[OMSCHRIJVING]],Blad1!A:C,3,FALSE)</f>
        <v>3.10</v>
      </c>
      <c r="B78" s="15" t="s">
        <v>499</v>
      </c>
      <c r="C78" s="66"/>
      <c r="D78" s="54"/>
      <c r="E78" s="188"/>
      <c r="F78" s="55"/>
    </row>
    <row r="79" spans="1:8" ht="15.95" customHeight="1">
      <c r="A79" s="1"/>
      <c r="B79" s="52" t="s">
        <v>230</v>
      </c>
      <c r="C79" s="66" t="s">
        <v>18</v>
      </c>
      <c r="D79" s="54">
        <v>1</v>
      </c>
      <c r="E79" s="188"/>
      <c r="F79" s="55"/>
    </row>
    <row r="80" spans="1:8" ht="15.95" customHeight="1">
      <c r="A80" s="1" t="str">
        <f>IF(Tabel_Totaal_werkzaamheden214[[#This Row],[OMSCHRIJVING]]="","",_xlfn.XLOOKUP(Tabel_Totaal_werkzaamheden214[[#This Row],[OMSCHRIJVING]],Verwijzingsblad!$B$2:$B$186,Verwijzingsblad!$A$2:$A$186,""))</f>
        <v/>
      </c>
      <c r="B80" s="52"/>
      <c r="C80" s="66"/>
      <c r="D80" s="54"/>
      <c r="E80" s="188"/>
      <c r="F80" s="55"/>
    </row>
    <row r="81" spans="1:7" ht="15.95" customHeight="1">
      <c r="A81" s="205" t="s">
        <v>155</v>
      </c>
      <c r="B81" s="206"/>
      <c r="C81" s="207"/>
      <c r="D81" s="208" t="str">
        <f>B3</f>
        <v>Brug 9 Vlinderveen</v>
      </c>
      <c r="E81" s="209" t="str">
        <f>A3</f>
        <v>EEK-10</v>
      </c>
      <c r="F81" s="210">
        <f>SUBTOTAL(109,Tabel_Totaal_werkzaamheden214[TOTAALBEDRAG IN EURO])</f>
        <v>0</v>
      </c>
      <c r="G81" s="75"/>
    </row>
    <row r="82" spans="1:7" ht="15.95" customHeight="1">
      <c r="A82" s="15"/>
      <c r="B82" s="52"/>
      <c r="C82" s="52"/>
      <c r="D82" s="76"/>
      <c r="E82" s="191"/>
      <c r="F82" s="77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E91" s="192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66</v>
      </c>
      <c r="B3" s="23" t="s">
        <v>67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1.6</v>
      </c>
      <c r="E4" s="31" t="s">
        <v>302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7</v>
      </c>
      <c r="E5" s="31" t="s">
        <v>303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IF(Tabel_Totaal_werkzaamheden215[[#This Row],[OMSCHRIJVING]]="","",_xlfn.XLOOKUP(Tabel_Totaal_werkzaamheden215[[#This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VLOOKUP(Tabel_Totaal_werkzaamheden215[[#This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VLOOKUP(Tabel_Totaal_werkzaamheden215[[#This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VLOOKUP(Tabel_Totaal_werkzaamheden215[[#This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VLOOKUP(Tabel_Totaal_werkzaamheden215[[#This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VLOOKUP(Tabel_Totaal_werkzaamheden215[[#This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VLOOKUP(Tabel_Totaal_werkzaamheden215[[#This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VLOOKUP(Tabel_Totaal_werkzaamheden215[[#This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VLOOKUP(Tabel_Totaal_werkzaamheden215[[#This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VLOOKUP(Tabel_Totaal_werkzaamheden215[[#This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VLOOKUP(Tabel_Totaal_werkzaamheden215[[#This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VLOOKUP(Tabel_Totaal_werkzaamheden215[[#This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VLOOKUP(Tabel_Totaal_werkzaamheden215[[#This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 t="s">
        <v>237</v>
      </c>
      <c r="C48" s="66" t="s">
        <v>26</v>
      </c>
      <c r="D48" s="54">
        <v>4</v>
      </c>
      <c r="E48" s="188"/>
      <c r="F48" s="55"/>
      <c r="G48" s="181"/>
      <c r="I48" s="21"/>
    </row>
    <row r="49" spans="1:10" ht="15.95" customHeight="1">
      <c r="A49" s="1"/>
      <c r="B49" s="52" t="s">
        <v>215</v>
      </c>
      <c r="C49" s="66" t="s">
        <v>18</v>
      </c>
      <c r="D49" s="54">
        <v>1</v>
      </c>
      <c r="E49" s="188"/>
      <c r="F49" s="55"/>
      <c r="I49" s="21"/>
    </row>
    <row r="50" spans="1:10" ht="15.95" customHeight="1">
      <c r="A50" s="1"/>
      <c r="B50" s="52"/>
      <c r="C50" s="66"/>
      <c r="D50" s="54"/>
      <c r="E50" s="188"/>
      <c r="F50" s="55"/>
    </row>
    <row r="51" spans="1:10" ht="15.95" customHeight="1">
      <c r="A51" s="1" t="str">
        <f>VLOOKUP(Tabel_Totaal_werkzaamheden215[[#This Row],[OMSCHRIJVING]],Blad1!A:C,3,FALSE)</f>
        <v>3.4</v>
      </c>
      <c r="B51" s="70" t="s">
        <v>543</v>
      </c>
      <c r="C51" s="66"/>
      <c r="D51" s="54"/>
      <c r="E51" s="188"/>
      <c r="F51" s="55"/>
    </row>
    <row r="52" spans="1:10" ht="15.95" customHeight="1">
      <c r="A52" s="1"/>
      <c r="B52" s="60" t="s">
        <v>545</v>
      </c>
      <c r="C52" s="66" t="s">
        <v>26</v>
      </c>
      <c r="D52" s="54">
        <v>12</v>
      </c>
      <c r="E52" s="188"/>
      <c r="F52" s="55"/>
    </row>
    <row r="53" spans="1:10" ht="15.95" customHeight="1">
      <c r="A53" s="1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VLOOKUP(Tabel_Totaal_werkzaamheden215[[#This Row],[OMSCHRIJVING]],Blad1!A:C,3,FALSE)</f>
        <v>3.5</v>
      </c>
      <c r="B54" s="70" t="s">
        <v>169</v>
      </c>
      <c r="C54" s="66"/>
      <c r="D54" s="54"/>
      <c r="E54" s="188"/>
      <c r="F54" s="55"/>
    </row>
    <row r="55" spans="1:10" ht="15.95" customHeight="1">
      <c r="A55" s="1"/>
      <c r="B55" s="19" t="s">
        <v>179</v>
      </c>
      <c r="C55" s="66" t="s">
        <v>18</v>
      </c>
      <c r="D55" s="54">
        <v>1</v>
      </c>
      <c r="E55" s="188"/>
      <c r="F55" s="55"/>
    </row>
    <row r="56" spans="1:10" ht="15.95" customHeight="1">
      <c r="A56" s="1"/>
      <c r="B56" s="19" t="s">
        <v>170</v>
      </c>
      <c r="C56" s="66" t="s">
        <v>18</v>
      </c>
      <c r="D56" s="54">
        <v>1</v>
      </c>
      <c r="E56" s="188"/>
      <c r="F56" s="55"/>
    </row>
    <row r="57" spans="1:10" ht="12.75">
      <c r="A57" s="1"/>
      <c r="B57" s="19" t="s">
        <v>178</v>
      </c>
      <c r="C57" s="66" t="s">
        <v>24</v>
      </c>
      <c r="D57" s="54">
        <v>20</v>
      </c>
      <c r="E57" s="188"/>
      <c r="F57" s="55"/>
      <c r="I57" s="71"/>
      <c r="J57" s="71"/>
    </row>
    <row r="58" spans="1:10" ht="15.95" customHeight="1">
      <c r="A58" s="1"/>
      <c r="B58" s="52"/>
      <c r="C58" s="66"/>
      <c r="D58" s="54"/>
      <c r="E58" s="188"/>
      <c r="F58" s="55"/>
    </row>
    <row r="59" spans="1:10" ht="15.95" customHeight="1">
      <c r="A59" s="1" t="str">
        <f>VLOOKUP(Tabel_Totaal_werkzaamheden215[[#This Row],[OMSCHRIJVING]],Blad1!A:C,3,FALSE)</f>
        <v>3.6</v>
      </c>
      <c r="B59" s="15" t="s">
        <v>472</v>
      </c>
      <c r="C59" s="66"/>
      <c r="D59" s="54"/>
      <c r="E59" s="188"/>
      <c r="F59" s="55"/>
    </row>
    <row r="60" spans="1:10" ht="15.95" customHeight="1">
      <c r="A60" s="1"/>
      <c r="B60" s="52" t="s">
        <v>186</v>
      </c>
      <c r="C60" s="66" t="s">
        <v>18</v>
      </c>
      <c r="D60" s="54">
        <v>1</v>
      </c>
      <c r="E60" s="188"/>
      <c r="F60" s="55"/>
      <c r="G60" s="67"/>
    </row>
    <row r="61" spans="1:10" ht="15.95" customHeight="1">
      <c r="A61" s="1"/>
      <c r="B61" s="52" t="s">
        <v>241</v>
      </c>
      <c r="C61" s="66" t="s">
        <v>18</v>
      </c>
      <c r="D61" s="54">
        <v>1</v>
      </c>
      <c r="E61" s="188"/>
      <c r="F61" s="55"/>
    </row>
    <row r="62" spans="1:10" ht="15.95" customHeight="1">
      <c r="A62" s="1"/>
      <c r="B62" s="60" t="s">
        <v>172</v>
      </c>
      <c r="C62" s="66" t="s">
        <v>18</v>
      </c>
      <c r="D62" s="54">
        <v>1</v>
      </c>
      <c r="E62" s="188"/>
      <c r="F62" s="55"/>
    </row>
    <row r="63" spans="1:10" ht="15.95" customHeight="1">
      <c r="A63" s="1"/>
      <c r="B63" s="60" t="s">
        <v>242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52" t="s">
        <v>243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52" t="s">
        <v>25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185</v>
      </c>
      <c r="C66" s="66" t="s">
        <v>18</v>
      </c>
      <c r="D66" s="54">
        <v>1</v>
      </c>
      <c r="E66" s="188"/>
      <c r="F66" s="55"/>
      <c r="H66" s="21"/>
    </row>
    <row r="67" spans="1:8" ht="15.95" customHeight="1">
      <c r="A67" s="1"/>
      <c r="B67" s="52" t="s">
        <v>542</v>
      </c>
      <c r="C67" s="66" t="s">
        <v>26</v>
      </c>
      <c r="D67" s="54">
        <v>12</v>
      </c>
      <c r="E67" s="188"/>
      <c r="F67" s="55"/>
    </row>
    <row r="68" spans="1:8" ht="15.95" customHeight="1">
      <c r="A68" s="1"/>
      <c r="B68" s="52" t="s">
        <v>27</v>
      </c>
      <c r="C68" s="66" t="s">
        <v>24</v>
      </c>
      <c r="D68" s="54">
        <v>20</v>
      </c>
      <c r="E68" s="188"/>
      <c r="F68" s="55"/>
    </row>
    <row r="69" spans="1:8" ht="15.95" customHeight="1">
      <c r="A69" s="1"/>
      <c r="B69" s="52" t="s">
        <v>181</v>
      </c>
      <c r="C69" s="66" t="s">
        <v>24</v>
      </c>
      <c r="D69" s="54">
        <v>12</v>
      </c>
      <c r="E69" s="188"/>
      <c r="F69" s="55"/>
    </row>
    <row r="70" spans="1:8" ht="15.95" customHeight="1">
      <c r="A70" s="1"/>
      <c r="B70" s="52" t="s">
        <v>171</v>
      </c>
      <c r="C70" s="66" t="s">
        <v>18</v>
      </c>
      <c r="D70" s="54">
        <v>1</v>
      </c>
      <c r="E70" s="188"/>
      <c r="F70" s="55"/>
    </row>
    <row r="71" spans="1:8" ht="15.95" customHeight="1">
      <c r="A71" s="1"/>
      <c r="B71" s="52"/>
      <c r="C71" s="66"/>
      <c r="D71" s="54"/>
      <c r="E71" s="188"/>
      <c r="F71" s="55"/>
    </row>
    <row r="72" spans="1:8" ht="15.95" customHeight="1">
      <c r="A72" s="1" t="str">
        <f>VLOOKUP(Tabel_Totaal_werkzaamheden215[[#This Row],[OMSCHRIJVING]],Blad1!A:C,3,FALSE)</f>
        <v>3.7</v>
      </c>
      <c r="B72" s="70" t="s">
        <v>174</v>
      </c>
      <c r="C72" s="66"/>
      <c r="D72" s="54"/>
      <c r="E72" s="188"/>
      <c r="F72" s="55"/>
    </row>
    <row r="73" spans="1:8" s="164" customFormat="1" ht="25.5">
      <c r="A73" s="1"/>
      <c r="B73" s="164" t="s">
        <v>340</v>
      </c>
      <c r="C73" s="162" t="s">
        <v>26</v>
      </c>
      <c r="D73" s="156">
        <v>4</v>
      </c>
      <c r="E73" s="193"/>
      <c r="F73" s="157"/>
      <c r="G73" s="163"/>
    </row>
    <row r="74" spans="1:8" ht="15.95" customHeight="1">
      <c r="A74" s="1"/>
      <c r="B74" s="52"/>
      <c r="C74" s="66"/>
      <c r="D74" s="54"/>
      <c r="E74" s="188"/>
      <c r="F74" s="55"/>
    </row>
    <row r="75" spans="1:8" ht="15.95" customHeight="1">
      <c r="A75" s="1" t="str">
        <f>VLOOKUP(Tabel_Totaal_werkzaamheden215[[#This Row],[OMSCHRIJVING]],Blad1!A:C,3,FALSE)</f>
        <v>3.8</v>
      </c>
      <c r="B75" s="72" t="s">
        <v>231</v>
      </c>
      <c r="C75" s="73"/>
      <c r="D75" s="54"/>
      <c r="E75" s="188"/>
      <c r="F75" s="55"/>
    </row>
    <row r="76" spans="1:8" ht="15.95" customHeight="1">
      <c r="A76" s="1"/>
      <c r="B76" s="74" t="s">
        <v>28</v>
      </c>
      <c r="C76" s="73" t="s">
        <v>18</v>
      </c>
      <c r="D76" s="54">
        <v>1</v>
      </c>
      <c r="E76" s="188"/>
      <c r="F76" s="55"/>
    </row>
    <row r="77" spans="1:8" ht="15.95" customHeight="1">
      <c r="A77" s="1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VLOOKUP(Tabel_Totaal_werkzaamheden215[[#This Row],[OMSCHRIJVING]],Blad1!A:C,3,FALSE)</f>
        <v>3.10</v>
      </c>
      <c r="B78" s="15" t="s">
        <v>499</v>
      </c>
      <c r="C78" s="66"/>
      <c r="D78" s="54"/>
      <c r="E78" s="188"/>
      <c r="F78" s="55"/>
    </row>
    <row r="79" spans="1:8" ht="15.95" customHeight="1">
      <c r="A79" s="1"/>
      <c r="B79" s="52" t="s">
        <v>230</v>
      </c>
      <c r="C79" s="66" t="s">
        <v>18</v>
      </c>
      <c r="D79" s="54">
        <v>1</v>
      </c>
      <c r="E79" s="188"/>
      <c r="F79" s="55"/>
    </row>
    <row r="80" spans="1:8" ht="15.95" customHeight="1">
      <c r="A80" s="1" t="str">
        <f>IF(Tabel_Totaal_werkzaamheden215[[#This Row],[OMSCHRIJVING]]="","",_xlfn.XLOOKUP(Tabel_Totaal_werkzaamheden215[[#This Row],[OMSCHRIJVING]],Verwijzingsblad!$B$2:$B$186,Verwijzingsblad!$A$2:$A$186,""))</f>
        <v/>
      </c>
      <c r="B80" s="52"/>
      <c r="C80" s="66"/>
      <c r="D80" s="54"/>
      <c r="E80" s="188"/>
      <c r="F80" s="55"/>
    </row>
    <row r="81" spans="1:7" ht="15.95" customHeight="1">
      <c r="A81" s="205" t="s">
        <v>155</v>
      </c>
      <c r="B81" s="206"/>
      <c r="C81" s="207"/>
      <c r="D81" s="208" t="str">
        <f>B3</f>
        <v>Brug Zwaag</v>
      </c>
      <c r="E81" s="209" t="str">
        <f>A3</f>
        <v>HEK-03</v>
      </c>
      <c r="F81" s="210">
        <f>SUBTOTAL(109,Tabel_Totaal_werkzaamheden215[TOTAALBEDRAG IN EURO])</f>
        <v>0</v>
      </c>
      <c r="G81" s="75"/>
    </row>
    <row r="82" spans="1:7" ht="15.95" customHeight="1">
      <c r="A82" s="15"/>
      <c r="B82" s="52"/>
      <c r="C82" s="52"/>
      <c r="D82" s="76"/>
      <c r="E82" s="191"/>
      <c r="F82" s="77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E91" s="192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68</v>
      </c>
      <c r="B3" s="23" t="s">
        <v>69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2.1</v>
      </c>
      <c r="E4" s="152" t="s">
        <v>249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16.600000000000001</v>
      </c>
      <c r="E5" s="152" t="s">
        <v>248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IF(Tabel_Totaal_werkzaamheden216[[#This Row],[OMSCHRIJVING]]="","",_xlfn.XLOOKUP(Tabel_Totaal_werkzaamheden216[[#This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VLOOKUP(Tabel_Totaal_werkzaamheden216[[#This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VLOOKUP(Tabel_Totaal_werkzaamheden216[[#This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VLOOKUP(Tabel_Totaal_werkzaamheden216[[#This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2"/>
      <c r="C18" s="63"/>
      <c r="D18" s="64"/>
      <c r="E18" s="190"/>
      <c r="F18" s="65"/>
      <c r="H18" s="19"/>
      <c r="I18" s="19"/>
      <c r="J18" s="19"/>
    </row>
    <row r="19" spans="1:10" s="21" customFormat="1" ht="15.95" customHeight="1">
      <c r="A19" s="1" t="str">
        <f>VLOOKUP(Tabel_Totaal_werkzaamheden216[[#This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VLOOKUP(Tabel_Totaal_werkzaamheden216[[#This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VLOOKUP(Tabel_Totaal_werkzaamheden216[[#This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VLOOKUP(Tabel_Totaal_werkzaamheden216[[#This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VLOOKUP(Tabel_Totaal_werkzaamheden216[[#This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VLOOKUP(Tabel_Totaal_werkzaamheden216[[#This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VLOOKUP(Tabel_Totaal_werkzaamheden216[[#This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VLOOKUP(Tabel_Totaal_werkzaamheden216[[#This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515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VLOOKUP(Tabel_Totaal_werkzaamheden216[[#This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VLOOKUP(Tabel_Totaal_werkzaamheden216[[#This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238</v>
      </c>
      <c r="C51" s="66" t="s">
        <v>26</v>
      </c>
      <c r="D51" s="54">
        <v>15</v>
      </c>
      <c r="E51" s="188"/>
      <c r="F51" s="55"/>
      <c r="I51" s="21"/>
    </row>
    <row r="52" spans="1:10" ht="15.95" customHeight="1">
      <c r="A52" s="1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VLOOKUP(Tabel_Totaal_werkzaamheden216[[#This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"/>
      <c r="B54" s="60" t="s">
        <v>545</v>
      </c>
      <c r="C54" s="66" t="s">
        <v>26</v>
      </c>
      <c r="D54" s="54">
        <v>35</v>
      </c>
      <c r="E54" s="188"/>
      <c r="F54" s="55"/>
    </row>
    <row r="55" spans="1:10" ht="15.95" customHeight="1">
      <c r="A55" s="1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VLOOKUP(Tabel_Totaal_werkzaamheden216[[#This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19" t="s">
        <v>178</v>
      </c>
      <c r="C59" s="66" t="s">
        <v>24</v>
      </c>
      <c r="D59" s="54">
        <v>34</v>
      </c>
      <c r="E59" s="188"/>
      <c r="F59" s="55"/>
      <c r="I59" s="71"/>
      <c r="J59" s="71"/>
    </row>
    <row r="60" spans="1:10" ht="15.95" customHeight="1">
      <c r="A60" s="1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VLOOKUP(Tabel_Totaal_werkzaamheden216[[#This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"/>
      <c r="B68" s="52" t="s">
        <v>542</v>
      </c>
      <c r="C68" s="66" t="s">
        <v>26</v>
      </c>
      <c r="D68" s="54">
        <v>35</v>
      </c>
      <c r="E68" s="188"/>
      <c r="F68" s="55"/>
    </row>
    <row r="69" spans="1:8" ht="15.95" customHeight="1">
      <c r="A69" s="1"/>
      <c r="B69" s="52" t="s">
        <v>27</v>
      </c>
      <c r="C69" s="66" t="s">
        <v>24</v>
      </c>
      <c r="D69" s="54">
        <v>34</v>
      </c>
      <c r="E69" s="188"/>
      <c r="F69" s="55"/>
    </row>
    <row r="70" spans="1:8" ht="15.95" customHeight="1">
      <c r="A70" s="1"/>
      <c r="B70" s="52" t="s">
        <v>181</v>
      </c>
      <c r="C70" s="66" t="s">
        <v>24</v>
      </c>
      <c r="D70" s="54">
        <v>8</v>
      </c>
      <c r="E70" s="188"/>
      <c r="F70" s="55"/>
    </row>
    <row r="71" spans="1:8" ht="15.95" customHeight="1">
      <c r="A71" s="1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VLOOKUP(Tabel_Totaal_werkzaamheden216[[#This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ht="15.95" customHeight="1">
      <c r="A74" s="1"/>
      <c r="B74" s="19" t="s">
        <v>342</v>
      </c>
      <c r="C74" s="66" t="s">
        <v>26</v>
      </c>
      <c r="D74" s="54">
        <v>15</v>
      </c>
      <c r="E74" s="188"/>
      <c r="F74" s="55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VLOOKUP(Tabel_Totaal_werkzaamheden216[[#This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VLOOKUP(Tabel_Totaal_werkzaamheden216[[#This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" t="str">
        <f>IF(Tabel_Totaal_werkzaamheden216[[#This Row],[OMSCHRIJVING]]="","",_xlfn.XLOOKUP(Tabel_Totaal_werkzaamheden216[[#This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Flamingohoek</v>
      </c>
      <c r="E82" s="209" t="str">
        <f>A3</f>
        <v>HOE-01</v>
      </c>
      <c r="F82" s="210">
        <f>SUBTOTAL(109,Tabel_Totaal_werkzaamheden216[TOTAALBEDRAG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>
    <pageSetUpPr fitToPage="1"/>
  </sheetPr>
  <dimension ref="A1:J172"/>
  <sheetViews>
    <sheetView view="pageBreakPreview" topLeftCell="A4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70</v>
      </c>
      <c r="B3" s="23" t="s">
        <v>71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152" t="s">
        <v>246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8.1999999999999993</v>
      </c>
      <c r="E5" s="152" t="s">
        <v>250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IF(Tabel_Totaal_werkzaamheden217[[#This Row],[OMSCHRIJVING]]="","",_xlfn.XLOOKUP(Tabel_Totaal_werkzaamheden217[[#This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VLOOKUP(Tabel_Totaal_werkzaamheden217[[#This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2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VLOOKUP(Tabel_Totaal_werkzaamheden217[[#This Row],[OMSCHRIJVING]],Blad1!A:C,3,FALSE)</f>
        <v>2.4.15</v>
      </c>
      <c r="B13" s="56" t="s">
        <v>42</v>
      </c>
      <c r="C13" s="57"/>
      <c r="D13" s="255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2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2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VLOOKUP(Tabel_Totaal_werkzaamheden217[[#This Row],[OMSCHRIJVING]],Blad1!A:C,3,FALSE)</f>
        <v>2.4.17</v>
      </c>
      <c r="B16" s="56" t="s">
        <v>43</v>
      </c>
      <c r="C16" s="61"/>
      <c r="D16" s="2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2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61"/>
      <c r="D18" s="2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VLOOKUP(Tabel_Totaal_werkzaamheden217[[#This Row],[OMSCHRIJVING]],Blad1!A:C,3,FALSE)</f>
        <v>2.4.18</v>
      </c>
      <c r="B19" s="56" t="s">
        <v>182</v>
      </c>
      <c r="C19" s="61"/>
      <c r="D19" s="2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2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2"/>
      <c r="C21" s="180"/>
      <c r="D21" s="254"/>
      <c r="E21" s="190"/>
      <c r="F21" s="65"/>
      <c r="H21" s="19"/>
      <c r="I21" s="19"/>
      <c r="J21" s="19"/>
    </row>
    <row r="22" spans="1:10" s="21" customFormat="1" ht="15.95" customHeight="1">
      <c r="A22" s="1" t="str">
        <f>VLOOKUP(Tabel_Totaal_werkzaamheden217[[#This Row],[OMSCHRIJVING]],Blad1!A:C,3,FALSE)</f>
        <v>2.4.21</v>
      </c>
      <c r="B22" s="56" t="s">
        <v>29</v>
      </c>
      <c r="C22" s="61"/>
      <c r="D22" s="2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2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2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VLOOKUP(Tabel_Totaal_werkzaamheden217[[#This Row],[OMSCHRIJVING]],Blad1!A:C,3,FALSE)</f>
        <v>2.4.22</v>
      </c>
      <c r="B25" s="56" t="s">
        <v>159</v>
      </c>
      <c r="C25" s="61"/>
      <c r="D25" s="2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2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2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2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VLOOKUP(Tabel_Totaal_werkzaamheden217[[#This Row],[OMSCHRIJVING]],Blad1!A:C,3,FALSE)</f>
        <v>2.4.23</v>
      </c>
      <c r="B29" s="56" t="s">
        <v>160</v>
      </c>
      <c r="C29" s="66"/>
      <c r="D29" s="2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254">
        <v>1</v>
      </c>
      <c r="E30" s="188"/>
      <c r="F30" s="55"/>
      <c r="H30" s="19"/>
      <c r="I30" s="19"/>
      <c r="J30" s="19"/>
    </row>
    <row r="31" spans="1:10" s="21" customFormat="1" ht="15.95" customHeight="1">
      <c r="A31" s="1"/>
      <c r="B31" s="60"/>
      <c r="C31" s="66"/>
      <c r="D31" s="2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VLOOKUP(Tabel_Totaal_werkzaamheden217[[#This Row],[OMSCHRIJVING]],Blad1!A:C,3,FALSE)</f>
        <v>2.4.30</v>
      </c>
      <c r="B32" s="15" t="s">
        <v>394</v>
      </c>
      <c r="C32" s="66"/>
      <c r="D32" s="2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2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254">
        <v>1</v>
      </c>
      <c r="E34" s="188"/>
      <c r="F34" s="55"/>
    </row>
    <row r="35" spans="1:10" ht="15.95" customHeight="1">
      <c r="A35" s="1"/>
      <c r="B35" s="52"/>
      <c r="C35" s="66"/>
      <c r="D35" s="254"/>
      <c r="E35" s="188"/>
      <c r="F35" s="55"/>
    </row>
    <row r="36" spans="1:10" ht="15.95" customHeight="1">
      <c r="A36" s="1" t="str">
        <f>VLOOKUP(Tabel_Totaal_werkzaamheden217[[#This Row],[OMSCHRIJVING]],Blad1!A:C,3,FALSE)</f>
        <v>2.4.31</v>
      </c>
      <c r="B36" s="56" t="s">
        <v>396</v>
      </c>
      <c r="C36" s="66"/>
      <c r="D36" s="2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254">
        <v>1</v>
      </c>
      <c r="E37" s="188"/>
      <c r="F37" s="55"/>
    </row>
    <row r="38" spans="1:10" ht="15.95" customHeight="1">
      <c r="A38" s="1"/>
      <c r="B38" s="52"/>
      <c r="C38" s="66"/>
      <c r="D38" s="254"/>
      <c r="E38" s="188"/>
      <c r="F38" s="55"/>
    </row>
    <row r="39" spans="1:10" ht="15.95" customHeight="1">
      <c r="A39" s="1" t="str">
        <f>VLOOKUP(Tabel_Totaal_werkzaamheden217[[#This Row],[OMSCHRIJVING]],Blad1!A:C,3,FALSE)</f>
        <v>2.4.34</v>
      </c>
      <c r="B39" s="15" t="s">
        <v>161</v>
      </c>
      <c r="C39" s="66"/>
      <c r="D39" s="2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254">
        <v>1</v>
      </c>
      <c r="E40" s="188"/>
      <c r="F40" s="55"/>
      <c r="G40" s="67"/>
    </row>
    <row r="41" spans="1:10" ht="15.95" customHeight="1">
      <c r="A41" s="1"/>
      <c r="B41" s="68"/>
      <c r="C41" s="66"/>
      <c r="D41" s="254"/>
      <c r="E41" s="188"/>
      <c r="F41" s="55"/>
    </row>
    <row r="42" spans="1:10" ht="15.95" customHeight="1">
      <c r="A42" s="1" t="str">
        <f>VLOOKUP(Tabel_Totaal_werkzaamheden217[[#This Row],[OMSCHRIJVING]],Blad1!A:C,3,FALSE)</f>
        <v>2.5.3</v>
      </c>
      <c r="B42" s="15" t="s">
        <v>227</v>
      </c>
      <c r="C42" s="66"/>
      <c r="D42" s="2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254">
        <v>1</v>
      </c>
      <c r="E43" s="188"/>
      <c r="F43" s="55"/>
      <c r="J43" s="69"/>
    </row>
    <row r="44" spans="1:10" ht="15.95" customHeight="1">
      <c r="A44" s="1"/>
      <c r="B44" s="52"/>
      <c r="C44" s="66"/>
      <c r="D44" s="254"/>
      <c r="E44" s="188"/>
      <c r="F44" s="55"/>
    </row>
    <row r="45" spans="1:10" ht="15.95" customHeight="1">
      <c r="A45" s="1" t="str">
        <f>VLOOKUP(Tabel_Totaal_werkzaamheden217[[#This Row],[OMSCHRIJVING]],Blad1!A:C,3,FALSE)</f>
        <v>3.1</v>
      </c>
      <c r="B45" s="15" t="s">
        <v>180</v>
      </c>
      <c r="C45" s="66"/>
      <c r="D45" s="2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2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254">
        <v>1</v>
      </c>
      <c r="E47" s="188"/>
      <c r="F47" s="55"/>
    </row>
    <row r="48" spans="1:10" ht="15.95" customHeight="1">
      <c r="A48" s="1"/>
      <c r="B48" s="52"/>
      <c r="C48" s="66"/>
      <c r="D48" s="254"/>
      <c r="E48" s="188"/>
      <c r="F48" s="55"/>
    </row>
    <row r="49" spans="1:10" ht="15.95" customHeight="1">
      <c r="A49" s="1" t="str">
        <f>VLOOKUP(Tabel_Totaal_werkzaamheden217[[#This Row],[OMSCHRIJVING]],Blad1!A:C,3,FALSE)</f>
        <v>3.3</v>
      </c>
      <c r="B49" s="15" t="s">
        <v>457</v>
      </c>
      <c r="C49" s="66"/>
      <c r="D49" s="2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254">
        <v>1</v>
      </c>
      <c r="E50" s="188"/>
      <c r="F50" s="55"/>
    </row>
    <row r="51" spans="1:10" ht="15.95" customHeight="1">
      <c r="A51" s="1"/>
      <c r="B51" s="52" t="s">
        <v>209</v>
      </c>
      <c r="C51" s="66" t="s">
        <v>26</v>
      </c>
      <c r="D51" s="254">
        <v>12</v>
      </c>
      <c r="E51" s="188"/>
      <c r="F51" s="55"/>
      <c r="I51" s="21"/>
    </row>
    <row r="52" spans="1:10" ht="15.95" customHeight="1">
      <c r="A52" s="1"/>
      <c r="B52" s="52" t="s">
        <v>237</v>
      </c>
      <c r="C52" s="66" t="s">
        <v>26</v>
      </c>
      <c r="D52" s="254">
        <v>7</v>
      </c>
      <c r="E52" s="188"/>
      <c r="F52" s="55"/>
      <c r="I52" s="21"/>
    </row>
    <row r="53" spans="1:10" ht="15.95" customHeight="1">
      <c r="A53" s="1"/>
      <c r="B53" s="52"/>
      <c r="C53" s="66"/>
      <c r="D53" s="254"/>
      <c r="E53" s="188"/>
      <c r="F53" s="55"/>
    </row>
    <row r="54" spans="1:10" ht="15.95" customHeight="1">
      <c r="A54" s="1" t="str">
        <f>VLOOKUP(Tabel_Totaal_werkzaamheden217[[#This Row],[OMSCHRIJVING]],Blad1!A:C,3,FALSE)</f>
        <v>3.4</v>
      </c>
      <c r="B54" s="70" t="s">
        <v>543</v>
      </c>
      <c r="C54" s="66"/>
      <c r="D54" s="254"/>
      <c r="E54" s="188"/>
      <c r="F54" s="55"/>
    </row>
    <row r="55" spans="1:10" ht="15.95" customHeight="1">
      <c r="A55" s="1"/>
      <c r="B55" s="60" t="s">
        <v>545</v>
      </c>
      <c r="C55" s="66" t="s">
        <v>26</v>
      </c>
      <c r="D55" s="254">
        <v>15</v>
      </c>
      <c r="E55" s="188"/>
      <c r="F55" s="55"/>
    </row>
    <row r="56" spans="1:10" ht="15.95" customHeight="1">
      <c r="A56" s="1"/>
      <c r="B56" s="52"/>
      <c r="C56" s="66"/>
      <c r="D56" s="254"/>
      <c r="E56" s="188"/>
      <c r="F56" s="55"/>
    </row>
    <row r="57" spans="1:10" ht="15.95" customHeight="1">
      <c r="A57" s="1" t="str">
        <f>VLOOKUP(Tabel_Totaal_werkzaamheden217[[#This Row],[OMSCHRIJVING]],Blad1!A:C,3,FALSE)</f>
        <v>3.5</v>
      </c>
      <c r="B57" s="70" t="s">
        <v>169</v>
      </c>
      <c r="C57" s="66"/>
      <c r="D57" s="254"/>
      <c r="E57" s="188"/>
      <c r="F57" s="55"/>
    </row>
    <row r="58" spans="1:10" ht="15.95" customHeight="1">
      <c r="A58" s="1"/>
      <c r="B58" s="19" t="s">
        <v>179</v>
      </c>
      <c r="C58" s="66" t="s">
        <v>18</v>
      </c>
      <c r="D58" s="254">
        <v>1</v>
      </c>
      <c r="E58" s="188"/>
      <c r="F58" s="55"/>
    </row>
    <row r="59" spans="1:10" ht="15.95" customHeight="1">
      <c r="A59" s="1"/>
      <c r="B59" s="19" t="s">
        <v>170</v>
      </c>
      <c r="C59" s="66" t="s">
        <v>18</v>
      </c>
      <c r="D59" s="254">
        <v>1</v>
      </c>
      <c r="E59" s="188"/>
      <c r="F59" s="55"/>
    </row>
    <row r="60" spans="1:10" ht="15.95" customHeight="1">
      <c r="A60" s="1"/>
      <c r="B60" s="19" t="s">
        <v>178</v>
      </c>
      <c r="C60" s="66" t="s">
        <v>24</v>
      </c>
      <c r="D60" s="254">
        <v>17</v>
      </c>
      <c r="E60" s="188"/>
      <c r="F60" s="55"/>
      <c r="I60" s="71"/>
      <c r="J60" s="71"/>
    </row>
    <row r="61" spans="1:10" ht="15.95" customHeight="1">
      <c r="A61" s="1"/>
      <c r="B61" s="52"/>
      <c r="C61" s="66"/>
      <c r="D61" s="254"/>
      <c r="E61" s="188"/>
      <c r="F61" s="55"/>
    </row>
    <row r="62" spans="1:10" ht="15.95" customHeight="1">
      <c r="A62" s="1" t="str">
        <f>VLOOKUP(Tabel_Totaal_werkzaamheden217[[#This Row],[OMSCHRIJVING]],Blad1!A:C,3,FALSE)</f>
        <v>3.6</v>
      </c>
      <c r="B62" s="15" t="s">
        <v>472</v>
      </c>
      <c r="C62" s="66"/>
      <c r="D62" s="254"/>
      <c r="E62" s="188"/>
      <c r="F62" s="55"/>
    </row>
    <row r="63" spans="1:10" ht="15.95" customHeight="1">
      <c r="A63" s="1"/>
      <c r="B63" s="52" t="s">
        <v>186</v>
      </c>
      <c r="C63" s="66" t="s">
        <v>18</v>
      </c>
      <c r="D63" s="254">
        <v>1</v>
      </c>
      <c r="E63" s="188"/>
      <c r="F63" s="55"/>
      <c r="G63" s="67"/>
    </row>
    <row r="64" spans="1:10" ht="15.95" customHeight="1">
      <c r="A64" s="1"/>
      <c r="B64" s="52" t="s">
        <v>167</v>
      </c>
      <c r="C64" s="66" t="s">
        <v>18</v>
      </c>
      <c r="D64" s="254">
        <v>1</v>
      </c>
      <c r="E64" s="188"/>
      <c r="F64" s="55"/>
    </row>
    <row r="65" spans="1:8" ht="15.95" customHeight="1">
      <c r="A65" s="1"/>
      <c r="B65" s="60" t="s">
        <v>172</v>
      </c>
      <c r="C65" s="66" t="s">
        <v>18</v>
      </c>
      <c r="D65" s="254">
        <v>1</v>
      </c>
      <c r="E65" s="188"/>
      <c r="F65" s="55"/>
    </row>
    <row r="66" spans="1:8" ht="15.95" customHeight="1">
      <c r="A66" s="1"/>
      <c r="B66" s="52" t="s">
        <v>244</v>
      </c>
      <c r="C66" s="66" t="s">
        <v>18</v>
      </c>
      <c r="D66" s="254">
        <v>1</v>
      </c>
      <c r="E66" s="188"/>
      <c r="F66" s="55"/>
    </row>
    <row r="67" spans="1:8" ht="15.95" customHeight="1">
      <c r="A67" s="1"/>
      <c r="B67" s="52" t="s">
        <v>25</v>
      </c>
      <c r="C67" s="66" t="s">
        <v>18</v>
      </c>
      <c r="D67" s="254">
        <v>1</v>
      </c>
      <c r="E67" s="188"/>
      <c r="F67" s="55"/>
    </row>
    <row r="68" spans="1:8" ht="15.95" customHeight="1">
      <c r="A68" s="1"/>
      <c r="B68" s="52" t="s">
        <v>185</v>
      </c>
      <c r="C68" s="66" t="s">
        <v>18</v>
      </c>
      <c r="D68" s="254">
        <v>1</v>
      </c>
      <c r="E68" s="188"/>
      <c r="F68" s="55"/>
      <c r="H68" s="21"/>
    </row>
    <row r="69" spans="1:8" ht="15.95" customHeight="1">
      <c r="A69" s="1"/>
      <c r="B69" s="52" t="s">
        <v>542</v>
      </c>
      <c r="C69" s="66" t="s">
        <v>26</v>
      </c>
      <c r="D69" s="254">
        <v>15</v>
      </c>
      <c r="E69" s="188"/>
      <c r="F69" s="55"/>
    </row>
    <row r="70" spans="1:8" ht="15.95" customHeight="1">
      <c r="A70" s="1"/>
      <c r="B70" s="52" t="s">
        <v>27</v>
      </c>
      <c r="C70" s="66" t="s">
        <v>24</v>
      </c>
      <c r="D70" s="254">
        <v>17</v>
      </c>
      <c r="E70" s="188"/>
      <c r="F70" s="55"/>
    </row>
    <row r="71" spans="1:8" ht="15.95" customHeight="1">
      <c r="A71" s="1"/>
      <c r="B71" s="52" t="s">
        <v>181</v>
      </c>
      <c r="C71" s="66" t="s">
        <v>24</v>
      </c>
      <c r="D71" s="254">
        <v>12</v>
      </c>
      <c r="E71" s="188"/>
      <c r="F71" s="55"/>
    </row>
    <row r="72" spans="1:8" ht="15.95" customHeight="1">
      <c r="A72" s="1"/>
      <c r="B72" s="52" t="s">
        <v>171</v>
      </c>
      <c r="C72" s="66" t="s">
        <v>18</v>
      </c>
      <c r="D72" s="254">
        <v>1</v>
      </c>
      <c r="E72" s="188"/>
      <c r="F72" s="55"/>
    </row>
    <row r="73" spans="1:8" ht="15.95" customHeight="1">
      <c r="A73" s="1"/>
      <c r="B73" s="52"/>
      <c r="C73" s="66"/>
      <c r="D73" s="254"/>
      <c r="E73" s="188"/>
      <c r="F73" s="55"/>
    </row>
    <row r="74" spans="1:8" ht="15.95" customHeight="1">
      <c r="A74" s="1" t="str">
        <f>VLOOKUP(Tabel_Totaal_werkzaamheden217[[#This Row],[OMSCHRIJVING]],Blad1!A:C,3,FALSE)</f>
        <v>3.7</v>
      </c>
      <c r="B74" s="70" t="s">
        <v>174</v>
      </c>
      <c r="C74" s="66"/>
      <c r="D74" s="254"/>
      <c r="E74" s="188"/>
      <c r="F74" s="55"/>
    </row>
    <row r="75" spans="1:8" ht="15.95" customHeight="1">
      <c r="A75" s="1"/>
      <c r="B75" s="19" t="s">
        <v>239</v>
      </c>
      <c r="C75" s="66" t="s">
        <v>26</v>
      </c>
      <c r="D75" s="254">
        <v>12</v>
      </c>
      <c r="E75" s="188"/>
      <c r="F75" s="55"/>
    </row>
    <row r="76" spans="1:8" s="164" customFormat="1" ht="25.5">
      <c r="A76" s="1"/>
      <c r="B76" s="164" t="s">
        <v>340</v>
      </c>
      <c r="C76" s="162" t="s">
        <v>26</v>
      </c>
      <c r="D76" s="254">
        <v>7</v>
      </c>
      <c r="E76" s="193"/>
      <c r="F76" s="157"/>
      <c r="G76" s="163"/>
    </row>
    <row r="77" spans="1:8" ht="15.95" customHeight="1">
      <c r="A77" s="1"/>
      <c r="B77" s="52"/>
      <c r="C77" s="66"/>
      <c r="D77" s="254"/>
      <c r="E77" s="188"/>
      <c r="F77" s="55"/>
    </row>
    <row r="78" spans="1:8" ht="15.95" customHeight="1">
      <c r="A78" s="1" t="str">
        <f>VLOOKUP(Tabel_Totaal_werkzaamheden217[[#This Row],[OMSCHRIJVING]],Blad1!A:C,3,FALSE)</f>
        <v>3.8</v>
      </c>
      <c r="B78" s="72" t="s">
        <v>231</v>
      </c>
      <c r="C78" s="73"/>
      <c r="D78" s="254"/>
      <c r="E78" s="188"/>
      <c r="F78" s="55"/>
    </row>
    <row r="79" spans="1:8" ht="15.95" customHeight="1">
      <c r="A79" s="1"/>
      <c r="B79" s="74" t="s">
        <v>28</v>
      </c>
      <c r="C79" s="73" t="s">
        <v>18</v>
      </c>
      <c r="D79" s="254">
        <v>1</v>
      </c>
      <c r="E79" s="188"/>
      <c r="F79" s="55"/>
    </row>
    <row r="80" spans="1:8" ht="15.95" customHeight="1">
      <c r="A80" s="1"/>
      <c r="B80" s="52"/>
      <c r="C80" s="66"/>
      <c r="D80" s="254"/>
      <c r="E80" s="188"/>
      <c r="F80" s="55"/>
    </row>
    <row r="81" spans="1:7" ht="15.95" customHeight="1">
      <c r="A81" s="1" t="str">
        <f>VLOOKUP(Tabel_Totaal_werkzaamheden217[[#This Row],[OMSCHRIJVING]],Blad1!A:C,3,FALSE)</f>
        <v>3.10</v>
      </c>
      <c r="B81" s="15" t="s">
        <v>499</v>
      </c>
      <c r="C81" s="66"/>
      <c r="D81" s="254"/>
      <c r="E81" s="188"/>
      <c r="F81" s="55"/>
    </row>
    <row r="82" spans="1:7" ht="15.95" customHeight="1">
      <c r="A82" s="1"/>
      <c r="B82" s="52" t="s">
        <v>230</v>
      </c>
      <c r="C82" s="66" t="s">
        <v>18</v>
      </c>
      <c r="D82" s="254">
        <v>1</v>
      </c>
      <c r="E82" s="188"/>
      <c r="F82" s="55"/>
    </row>
    <row r="83" spans="1:7" ht="15.95" customHeight="1">
      <c r="A83" s="1" t="str">
        <f>IF(Tabel_Totaal_werkzaamheden217[[#This Row],[OMSCHRIJVING]]="","",_xlfn.XLOOKUP(Tabel_Totaal_werkzaamheden217[[#This Row],[OMSCHRIJVING]],Verwijzingsblad!$B$2:$B$186,Verwijzingsblad!$A$2:$A$186,""))</f>
        <v/>
      </c>
      <c r="B83" s="52"/>
      <c r="C83" s="66"/>
      <c r="D83" s="54"/>
      <c r="E83" s="188"/>
      <c r="F83" s="55"/>
    </row>
    <row r="84" spans="1:7" ht="15.95" customHeight="1">
      <c r="A84" s="211" t="s">
        <v>155</v>
      </c>
      <c r="B84" s="212"/>
      <c r="C84" s="213"/>
      <c r="D84" s="214" t="str">
        <f>B3</f>
        <v>Brug 2 Albatroshoek</v>
      </c>
      <c r="E84" s="215" t="str">
        <f>A3</f>
        <v>HOE-02</v>
      </c>
      <c r="F84" s="216">
        <f>SUBTOTAL(109,Tabel_Totaal_werkzaamheden217[TOTAALBEDRAG IN EURO])</f>
        <v>0</v>
      </c>
      <c r="G84" s="75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6">
    <pageSetUpPr fitToPage="1"/>
  </sheetPr>
  <dimension ref="A1:J172"/>
  <sheetViews>
    <sheetView view="pageBreakPreview" topLeftCell="A7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72</v>
      </c>
      <c r="B3" s="23" t="s">
        <v>73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31" t="s">
        <v>246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8.3000000000000007</v>
      </c>
      <c r="E5" s="31" t="s">
        <v>250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IF(Tabel_Totaal_werkzaamheden218[[#This Row],[OMSCHRIJVING]]="","",_xlfn.XLOOKUP(Tabel_Totaal_werkzaamheden218[[#This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VLOOKUP(Tabel_Totaal_werkzaamheden218[[#This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VLOOKUP(Tabel_Totaal_werkzaamheden218[[#This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VLOOKUP(Tabel_Totaal_werkzaamheden218[[#This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2"/>
      <c r="C18" s="63"/>
      <c r="D18" s="64"/>
      <c r="E18" s="190"/>
      <c r="F18" s="65"/>
      <c r="H18" s="19"/>
      <c r="I18" s="19"/>
      <c r="J18" s="19"/>
    </row>
    <row r="19" spans="1:10" s="21" customFormat="1" ht="15.95" customHeight="1">
      <c r="A19" s="1" t="str">
        <f>VLOOKUP(Tabel_Totaal_werkzaamheden218[[#This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VLOOKUP(Tabel_Totaal_werkzaamheden218[[#This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VLOOKUP(Tabel_Totaal_werkzaamheden218[[#This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VLOOKUP(Tabel_Totaal_werkzaamheden218[[#This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VLOOKUP(Tabel_Totaal_werkzaamheden218[[#This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VLOOKUP(Tabel_Totaal_werkzaamheden218[[#This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VLOOKUP(Tabel_Totaal_werkzaamheden218[[#This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VLOOKUP(Tabel_Totaal_werkzaamheden218[[#This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VLOOKUP(Tabel_Totaal_werkzaamheden218[[#This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VLOOKUP(Tabel_Totaal_werkzaamheden218[[#This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209</v>
      </c>
      <c r="C51" s="66" t="s">
        <v>26</v>
      </c>
      <c r="D51" s="54">
        <v>2</v>
      </c>
      <c r="E51" s="188"/>
      <c r="F51" s="55"/>
      <c r="I51" s="21"/>
    </row>
    <row r="52" spans="1:10" ht="15.95" customHeight="1">
      <c r="A52" s="1"/>
      <c r="B52" s="52" t="s">
        <v>237</v>
      </c>
      <c r="C52" s="66" t="s">
        <v>26</v>
      </c>
      <c r="D52" s="54">
        <v>5</v>
      </c>
      <c r="E52" s="188"/>
      <c r="F52" s="55"/>
      <c r="I52" s="21"/>
    </row>
    <row r="53" spans="1:10" ht="15.95" customHeight="1">
      <c r="A53" s="1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VLOOKUP(Tabel_Totaal_werkzaamheden218[[#This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"/>
      <c r="B55" s="60" t="s">
        <v>545</v>
      </c>
      <c r="C55" s="66" t="s">
        <v>26</v>
      </c>
      <c r="D55" s="54">
        <v>15</v>
      </c>
      <c r="E55" s="188"/>
      <c r="F55" s="55"/>
    </row>
    <row r="56" spans="1:10" ht="15.95" customHeight="1">
      <c r="A56" s="1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VLOOKUP(Tabel_Totaal_werkzaamheden218[[#This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"/>
      <c r="B60" s="19" t="s">
        <v>178</v>
      </c>
      <c r="C60" s="66" t="s">
        <v>24</v>
      </c>
      <c r="D60" s="54">
        <v>17</v>
      </c>
      <c r="E60" s="188"/>
      <c r="F60" s="55"/>
      <c r="I60" s="71"/>
      <c r="J60" s="71"/>
    </row>
    <row r="61" spans="1:10" ht="15.95" customHeight="1">
      <c r="A61" s="1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VLOOKUP(Tabel_Totaal_werkzaamheden218[[#This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244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"/>
      <c r="B69" s="52" t="s">
        <v>542</v>
      </c>
      <c r="C69" s="66" t="s">
        <v>26</v>
      </c>
      <c r="D69" s="54">
        <v>15</v>
      </c>
      <c r="E69" s="188"/>
      <c r="F69" s="55"/>
    </row>
    <row r="70" spans="1:8" ht="15.95" customHeight="1">
      <c r="A70" s="1"/>
      <c r="B70" s="52" t="s">
        <v>27</v>
      </c>
      <c r="C70" s="66" t="s">
        <v>24</v>
      </c>
      <c r="D70" s="54">
        <v>17</v>
      </c>
      <c r="E70" s="188"/>
      <c r="F70" s="55"/>
    </row>
    <row r="71" spans="1:8" ht="15.95" customHeight="1">
      <c r="A71" s="1"/>
      <c r="B71" s="52" t="s">
        <v>181</v>
      </c>
      <c r="C71" s="66" t="s">
        <v>24</v>
      </c>
      <c r="D71" s="54">
        <v>12</v>
      </c>
      <c r="E71" s="188"/>
      <c r="F71" s="55"/>
    </row>
    <row r="72" spans="1:8" ht="15.95" customHeight="1">
      <c r="A72" s="1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VLOOKUP(Tabel_Totaal_werkzaamheden218[[#This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s="164" customFormat="1" ht="25.5">
      <c r="A75" s="1"/>
      <c r="B75" s="164" t="s">
        <v>340</v>
      </c>
      <c r="C75" s="162" t="s">
        <v>26</v>
      </c>
      <c r="D75" s="156">
        <v>5</v>
      </c>
      <c r="E75" s="193"/>
      <c r="F75" s="157"/>
      <c r="G75" s="163"/>
    </row>
    <row r="76" spans="1:8" ht="15.95" customHeight="1">
      <c r="A76" s="1"/>
      <c r="B76" s="52" t="s">
        <v>216</v>
      </c>
      <c r="C76" s="66" t="s">
        <v>26</v>
      </c>
      <c r="D76" s="54">
        <v>2</v>
      </c>
      <c r="E76" s="188"/>
      <c r="F76" s="55"/>
    </row>
    <row r="77" spans="1:8" ht="15.95" customHeight="1">
      <c r="A77" s="1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VLOOKUP(Tabel_Totaal_werkzaamheden218[[#This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VLOOKUP(Tabel_Totaal_werkzaamheden218[[#This Row],[OMSCHRIJVING]],Blad1!A:C,3,FALSE)</f>
        <v>3.10</v>
      </c>
      <c r="B81" s="15" t="s">
        <v>499</v>
      </c>
      <c r="C81" s="66"/>
      <c r="D81" s="54"/>
      <c r="E81" s="188"/>
      <c r="F81" s="55"/>
    </row>
    <row r="82" spans="1:7" ht="15.95" customHeight="1">
      <c r="A82" s="1"/>
      <c r="B82" s="52" t="s">
        <v>230</v>
      </c>
      <c r="C82" s="66" t="s">
        <v>18</v>
      </c>
      <c r="D82" s="54">
        <v>1</v>
      </c>
      <c r="E82" s="188"/>
      <c r="F82" s="55"/>
    </row>
    <row r="83" spans="1:7" ht="15.95" customHeight="1">
      <c r="A83" s="1" t="str">
        <f>IF(Tabel_Totaal_werkzaamheden218[[#This Row],[OMSCHRIJVING]]="","",_xlfn.XLOOKUP(Tabel_Totaal_werkzaamheden218[[#This Row],[OMSCHRIJVING]],Verwijzingsblad!$B$2:$B$186,Verwijzingsblad!$A$2:$A$186,""))</f>
        <v/>
      </c>
      <c r="B83" s="52"/>
      <c r="C83" s="66"/>
      <c r="D83" s="54"/>
      <c r="E83" s="188"/>
      <c r="F83" s="55"/>
    </row>
    <row r="84" spans="1:7" ht="15.95" customHeight="1">
      <c r="A84" s="205" t="s">
        <v>155</v>
      </c>
      <c r="B84" s="206"/>
      <c r="C84" s="207"/>
      <c r="D84" s="208" t="str">
        <f>B3</f>
        <v>Brug 3 Albatroshoek</v>
      </c>
      <c r="E84" s="209" t="str">
        <f>A3</f>
        <v>HOE-03</v>
      </c>
      <c r="F84" s="210">
        <f>SUBTOTAL(109,Tabel_Totaal_werkzaamheden218[TOTAALBEDRAG IN EURO])</f>
        <v>0</v>
      </c>
      <c r="G84" s="75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74</v>
      </c>
      <c r="B3" s="23" t="s">
        <v>75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152" t="s">
        <v>246</v>
      </c>
      <c r="F4" s="32"/>
    </row>
    <row r="5" spans="1:10" ht="15.75" customHeight="1">
      <c r="A5" s="27"/>
      <c r="B5" s="28" t="s">
        <v>315</v>
      </c>
      <c r="C5" s="29" t="s">
        <v>225</v>
      </c>
      <c r="D5" s="179">
        <v>7.8</v>
      </c>
      <c r="E5" s="152" t="s">
        <v>251</v>
      </c>
      <c r="F5" s="32"/>
    </row>
    <row r="6" spans="1:10" s="21" customFormat="1" ht="15.75" customHeight="1" thickBot="1">
      <c r="A6" s="33"/>
      <c r="B6" s="33"/>
      <c r="C6" s="29"/>
      <c r="D6" s="179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IF(Tabel_Totaal_werkzaamheden219[[#This Row],[OMSCHRIJVING]]="","",_xlfn.XLOOKUP(Tabel_Totaal_werkzaamheden219[[#This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VLOOKUP(Tabel_Totaal_werkzaamheden219[[#This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VLOOKUP(Tabel_Totaal_werkzaamheden219[[#This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VLOOKUP(Tabel_Totaal_werkzaamheden219[[#This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VLOOKUP(Tabel_Totaal_werkzaamheden219[[#This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VLOOKUP(Tabel_Totaal_werkzaamheden219[[#This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VLOOKUP(Tabel_Totaal_werkzaamheden219[[#This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VLOOKUP(Tabel_Totaal_werkzaamheden219[[#This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VLOOKUP(Tabel_Totaal_werkzaamheden219[[#This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VLOOKUP(Tabel_Totaal_werkzaamheden219[[#This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VLOOKUP(Tabel_Totaal_werkzaamheden219[[#This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VLOOKUP(Tabel_Totaal_werkzaamheden219[[#This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VLOOKUP(Tabel_Totaal_werkzaamheden219[[#This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VLOOKUP(Tabel_Totaal_werkzaamheden219[[#This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209</v>
      </c>
      <c r="C51" s="66" t="s">
        <v>26</v>
      </c>
      <c r="D51" s="54">
        <v>12</v>
      </c>
      <c r="E51" s="188"/>
      <c r="F51" s="55"/>
      <c r="I51" s="21"/>
    </row>
    <row r="52" spans="1:10" ht="15.95" customHeight="1">
      <c r="A52" s="1"/>
      <c r="B52" s="52" t="s">
        <v>237</v>
      </c>
      <c r="C52" s="66" t="s">
        <v>26</v>
      </c>
      <c r="D52" s="54">
        <v>6</v>
      </c>
      <c r="E52" s="188"/>
      <c r="F52" s="55"/>
      <c r="I52" s="21"/>
    </row>
    <row r="53" spans="1:10" ht="15.95" customHeight="1">
      <c r="A53" s="1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VLOOKUP(Tabel_Totaal_werkzaamheden219[[#This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"/>
      <c r="B55" s="60" t="s">
        <v>545</v>
      </c>
      <c r="C55" s="66" t="s">
        <v>26</v>
      </c>
      <c r="D55" s="54">
        <v>14</v>
      </c>
      <c r="E55" s="188"/>
      <c r="F55" s="55"/>
    </row>
    <row r="56" spans="1:10" ht="15.95" customHeight="1">
      <c r="A56" s="1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VLOOKUP(Tabel_Totaal_werkzaamheden219[[#This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"/>
      <c r="B60" s="19" t="s">
        <v>178</v>
      </c>
      <c r="C60" s="66" t="s">
        <v>24</v>
      </c>
      <c r="D60" s="54">
        <v>16</v>
      </c>
      <c r="E60" s="188"/>
      <c r="F60" s="55"/>
      <c r="I60" s="71"/>
      <c r="J60" s="71"/>
    </row>
    <row r="61" spans="1:10" ht="15.95" customHeight="1">
      <c r="A61" s="1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VLOOKUP(Tabel_Totaal_werkzaamheden219[[#This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244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"/>
      <c r="B69" s="52" t="s">
        <v>542</v>
      </c>
      <c r="C69" s="66" t="s">
        <v>26</v>
      </c>
      <c r="D69" s="54">
        <v>14</v>
      </c>
      <c r="E69" s="188"/>
      <c r="F69" s="55"/>
    </row>
    <row r="70" spans="1:8" ht="15.95" customHeight="1">
      <c r="A70" s="1"/>
      <c r="B70" s="52" t="s">
        <v>27</v>
      </c>
      <c r="C70" s="66" t="s">
        <v>24</v>
      </c>
      <c r="D70" s="54">
        <v>16</v>
      </c>
      <c r="E70" s="188"/>
      <c r="F70" s="55"/>
    </row>
    <row r="71" spans="1:8" ht="15.95" customHeight="1">
      <c r="A71" s="1"/>
      <c r="B71" s="52" t="s">
        <v>181</v>
      </c>
      <c r="C71" s="66" t="s">
        <v>24</v>
      </c>
      <c r="D71" s="54">
        <v>12</v>
      </c>
      <c r="E71" s="188"/>
      <c r="F71" s="55"/>
    </row>
    <row r="72" spans="1:8" ht="15.95" customHeight="1">
      <c r="A72" s="1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VLOOKUP(Tabel_Totaal_werkzaamheden219[[#This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ht="15.95" customHeight="1">
      <c r="A75" s="1"/>
      <c r="B75" s="19" t="s">
        <v>239</v>
      </c>
      <c r="C75" s="66" t="s">
        <v>26</v>
      </c>
      <c r="D75" s="54">
        <v>12</v>
      </c>
      <c r="E75" s="188"/>
      <c r="F75" s="55"/>
    </row>
    <row r="76" spans="1:8" s="164" customFormat="1" ht="25.5">
      <c r="A76" s="1"/>
      <c r="B76" s="164" t="s">
        <v>340</v>
      </c>
      <c r="C76" s="162" t="s">
        <v>26</v>
      </c>
      <c r="D76" s="156">
        <v>6</v>
      </c>
      <c r="E76" s="193"/>
      <c r="F76" s="157"/>
      <c r="G76" s="163"/>
    </row>
    <row r="77" spans="1:8" ht="15.95" customHeight="1">
      <c r="A77" s="1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VLOOKUP(Tabel_Totaal_werkzaamheden219[[#This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VLOOKUP(Tabel_Totaal_werkzaamheden219[[#This Row],[OMSCHRIJVING]],Blad1!A:C,3,FALSE)</f>
        <v>3.10</v>
      </c>
      <c r="B81" s="15" t="s">
        <v>499</v>
      </c>
      <c r="C81" s="66"/>
      <c r="D81" s="54"/>
      <c r="E81" s="188"/>
      <c r="F81" s="55"/>
    </row>
    <row r="82" spans="1:7" ht="15.95" customHeight="1">
      <c r="A82" s="1"/>
      <c r="B82" s="52" t="s">
        <v>230</v>
      </c>
      <c r="C82" s="66" t="s">
        <v>18</v>
      </c>
      <c r="D82" s="54">
        <v>1</v>
      </c>
      <c r="E82" s="188"/>
      <c r="F82" s="55"/>
    </row>
    <row r="83" spans="1:7" ht="15.95" customHeight="1">
      <c r="A83" s="1" t="str">
        <f>IF(Tabel_Totaal_werkzaamheden219[[#This Row],[OMSCHRIJVING]]="","",_xlfn.XLOOKUP(Tabel_Totaal_werkzaamheden219[[#This Row],[OMSCHRIJVING]],Verwijzingsblad!$B$2:$B$186,Verwijzingsblad!$A$2:$A$186,""))</f>
        <v/>
      </c>
      <c r="B83" s="52"/>
      <c r="C83" s="66"/>
      <c r="D83" s="54"/>
      <c r="E83" s="188"/>
      <c r="F83" s="55"/>
    </row>
    <row r="84" spans="1:7" ht="15.95" customHeight="1">
      <c r="A84" s="205" t="s">
        <v>155</v>
      </c>
      <c r="B84" s="206"/>
      <c r="C84" s="207"/>
      <c r="D84" s="208" t="str">
        <f>B3</f>
        <v>Brug 1 Albatroshoek</v>
      </c>
      <c r="E84" s="209" t="str">
        <f>A3</f>
        <v>HOE-04</v>
      </c>
      <c r="F84" s="210">
        <f>SUBTOTAL(109,Tabel_Totaal_werkzaamheden219[TOTAALBEDRAG IN EURO])</f>
        <v>0</v>
      </c>
      <c r="G84" s="75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76</v>
      </c>
      <c r="B3" s="23" t="s">
        <v>71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152" t="s">
        <v>246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7.8</v>
      </c>
      <c r="E5" s="152" t="s">
        <v>252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IF(Tabel_Totaal_werkzaamheden220[[#This Row],[OMSCHRIJVING]]="","",_xlfn.XLOOKUP(Tabel_Totaal_werkzaamheden220[[#This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VLOOKUP(Tabel_Totaal_werkzaamheden220[[#This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VLOOKUP(Tabel_Totaal_werkzaamheden220[[#This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VLOOKUP(Tabel_Totaal_werkzaamheden220[[#This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6" customHeight="1">
      <c r="A18" s="1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VLOOKUP(Tabel_Totaal_werkzaamheden220[[#This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VLOOKUP(Tabel_Totaal_werkzaamheden220[[#This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VLOOKUP(Tabel_Totaal_werkzaamheden220[[#This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VLOOKUP(Tabel_Totaal_werkzaamheden220[[#This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VLOOKUP(Tabel_Totaal_werkzaamheden220[[#This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VLOOKUP(Tabel_Totaal_werkzaamheden220[[#This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VLOOKUP(Tabel_Totaal_werkzaamheden220[[#This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VLOOKUP(Tabel_Totaal_werkzaamheden220[[#This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VLOOKUP(Tabel_Totaal_werkzaamheden220[[#This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VLOOKUP(Tabel_Totaal_werkzaamheden220[[#This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209</v>
      </c>
      <c r="C51" s="66" t="s">
        <v>26</v>
      </c>
      <c r="D51" s="54">
        <v>2</v>
      </c>
      <c r="E51" s="188"/>
      <c r="F51" s="55"/>
      <c r="I51" s="21"/>
    </row>
    <row r="52" spans="1:10" ht="15.95" customHeight="1">
      <c r="A52" s="1"/>
      <c r="B52" s="52" t="s">
        <v>237</v>
      </c>
      <c r="C52" s="66" t="s">
        <v>26</v>
      </c>
      <c r="D52" s="54">
        <v>5</v>
      </c>
      <c r="E52" s="188"/>
      <c r="F52" s="55"/>
      <c r="I52" s="21"/>
    </row>
    <row r="53" spans="1:10" ht="15.95" customHeight="1">
      <c r="A53" s="1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VLOOKUP(Tabel_Totaal_werkzaamheden220[[#This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"/>
      <c r="B55" s="60" t="s">
        <v>545</v>
      </c>
      <c r="C55" s="66" t="s">
        <v>26</v>
      </c>
      <c r="D55" s="54">
        <v>14</v>
      </c>
      <c r="E55" s="188"/>
      <c r="F55" s="55"/>
    </row>
    <row r="56" spans="1:10" ht="15.95" customHeight="1">
      <c r="A56" s="1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VLOOKUP(Tabel_Totaal_werkzaamheden220[[#This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"/>
      <c r="B60" s="19" t="s">
        <v>178</v>
      </c>
      <c r="C60" s="66" t="s">
        <v>24</v>
      </c>
      <c r="D60" s="54">
        <v>16</v>
      </c>
      <c r="E60" s="188"/>
      <c r="F60" s="55"/>
      <c r="I60" s="71"/>
      <c r="J60" s="71"/>
    </row>
    <row r="61" spans="1:10" ht="15.95" customHeight="1">
      <c r="A61" s="1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VLOOKUP(Tabel_Totaal_werkzaamheden220[[#This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"/>
      <c r="B69" s="52" t="s">
        <v>542</v>
      </c>
      <c r="C69" s="66" t="s">
        <v>26</v>
      </c>
      <c r="D69" s="54">
        <v>14</v>
      </c>
      <c r="E69" s="188"/>
      <c r="F69" s="55"/>
    </row>
    <row r="70" spans="1:8" ht="15.95" customHeight="1">
      <c r="A70" s="1"/>
      <c r="B70" s="52" t="s">
        <v>27</v>
      </c>
      <c r="C70" s="66" t="s">
        <v>24</v>
      </c>
      <c r="D70" s="54">
        <v>16</v>
      </c>
      <c r="E70" s="188"/>
      <c r="F70" s="55"/>
    </row>
    <row r="71" spans="1:8" ht="15.95" customHeight="1">
      <c r="A71" s="1"/>
      <c r="B71" s="52" t="s">
        <v>181</v>
      </c>
      <c r="C71" s="66" t="s">
        <v>24</v>
      </c>
      <c r="D71" s="54">
        <v>12</v>
      </c>
      <c r="E71" s="188"/>
      <c r="F71" s="55"/>
    </row>
    <row r="72" spans="1:8" ht="15.95" customHeight="1">
      <c r="A72" s="1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VLOOKUP(Tabel_Totaal_werkzaamheden220[[#This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s="164" customFormat="1" ht="25.5">
      <c r="A75" s="1"/>
      <c r="B75" s="164" t="s">
        <v>340</v>
      </c>
      <c r="C75" s="162" t="s">
        <v>26</v>
      </c>
      <c r="D75" s="156">
        <v>5</v>
      </c>
      <c r="E75" s="193"/>
      <c r="F75" s="157"/>
      <c r="G75" s="163"/>
    </row>
    <row r="76" spans="1:8" ht="15.95" customHeight="1">
      <c r="A76" s="1"/>
      <c r="B76" s="52" t="s">
        <v>216</v>
      </c>
      <c r="C76" s="66" t="s">
        <v>26</v>
      </c>
      <c r="D76" s="54">
        <v>2</v>
      </c>
      <c r="E76" s="188"/>
      <c r="F76" s="55"/>
    </row>
    <row r="77" spans="1:8" ht="15.95" customHeight="1">
      <c r="A77" s="1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VLOOKUP(Tabel_Totaal_werkzaamheden220[[#This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VLOOKUP(Tabel_Totaal_werkzaamheden220[[#This Row],[OMSCHRIJVING]],Blad1!A:C,3,FALSE)</f>
        <v>3.10</v>
      </c>
      <c r="B81" s="15" t="s">
        <v>499</v>
      </c>
      <c r="C81" s="66"/>
      <c r="D81" s="54"/>
      <c r="E81" s="188"/>
      <c r="F81" s="55"/>
    </row>
    <row r="82" spans="1:7" ht="15.95" customHeight="1">
      <c r="A82" s="1"/>
      <c r="B82" s="52" t="s">
        <v>230</v>
      </c>
      <c r="C82" s="66" t="s">
        <v>18</v>
      </c>
      <c r="D82" s="54">
        <v>1</v>
      </c>
      <c r="E82" s="188"/>
      <c r="F82" s="55"/>
    </row>
    <row r="83" spans="1:7" ht="15.95" customHeight="1">
      <c r="A83" s="1" t="str">
        <f>IF(Tabel_Totaal_werkzaamheden220[[#This Row],[OMSCHRIJVING]]="","",_xlfn.XLOOKUP(Tabel_Totaal_werkzaamheden220[[#This Row],[OMSCHRIJVING]],Verwijzingsblad!$B$2:$B$186,Verwijzingsblad!$A$2:$A$186,""))</f>
        <v/>
      </c>
      <c r="B83" s="52"/>
      <c r="C83" s="66"/>
      <c r="D83" s="54"/>
      <c r="E83" s="188"/>
      <c r="F83" s="55"/>
    </row>
    <row r="84" spans="1:7" ht="15.95" customHeight="1">
      <c r="A84" s="205" t="s">
        <v>155</v>
      </c>
      <c r="B84" s="206"/>
      <c r="C84" s="207"/>
      <c r="D84" s="208" t="str">
        <f>B3</f>
        <v>Brug 2 Albatroshoek</v>
      </c>
      <c r="E84" s="209" t="str">
        <f>A3</f>
        <v>HOE-05</v>
      </c>
      <c r="F84" s="210">
        <f>SUBTOTAL(109,Tabel_Totaal_werkzaamheden220[TOTAALBEDRAG IN EURO])</f>
        <v>0</v>
      </c>
      <c r="G84" s="75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9"/>
  <sheetViews>
    <sheetView topLeftCell="A52" workbookViewId="0">
      <selection activeCell="A69" sqref="A69"/>
    </sheetView>
  </sheetViews>
  <sheetFormatPr defaultRowHeight="15"/>
  <cols>
    <col min="1" max="1" width="80.7109375" bestFit="1" customWidth="1"/>
    <col min="2" max="2" width="8" bestFit="1" customWidth="1"/>
    <col min="3" max="3" width="12.5703125" bestFit="1" customWidth="1"/>
  </cols>
  <sheetData>
    <row r="1" spans="1:3">
      <c r="A1" t="s">
        <v>1</v>
      </c>
      <c r="B1" t="s">
        <v>529</v>
      </c>
      <c r="C1" t="s">
        <v>165</v>
      </c>
    </row>
    <row r="2" spans="1:3">
      <c r="A2" t="s">
        <v>414</v>
      </c>
      <c r="B2">
        <v>5</v>
      </c>
      <c r="C2" t="s">
        <v>413</v>
      </c>
    </row>
    <row r="3" spans="1:3">
      <c r="A3" t="s">
        <v>368</v>
      </c>
      <c r="B3">
        <v>5</v>
      </c>
      <c r="C3" t="s">
        <v>415</v>
      </c>
    </row>
    <row r="4" spans="1:3">
      <c r="A4" t="s">
        <v>417</v>
      </c>
      <c r="B4">
        <v>5</v>
      </c>
      <c r="C4" t="s">
        <v>416</v>
      </c>
    </row>
    <row r="5" spans="1:3">
      <c r="A5" t="s">
        <v>419</v>
      </c>
      <c r="B5">
        <v>5</v>
      </c>
      <c r="C5" t="s">
        <v>418</v>
      </c>
    </row>
    <row r="6" spans="1:3">
      <c r="A6" t="s">
        <v>516</v>
      </c>
      <c r="B6">
        <v>6</v>
      </c>
      <c r="C6" t="s">
        <v>420</v>
      </c>
    </row>
    <row r="7" spans="1:3">
      <c r="A7" t="s">
        <v>517</v>
      </c>
      <c r="B7">
        <v>6</v>
      </c>
      <c r="C7" t="s">
        <v>422</v>
      </c>
    </row>
    <row r="8" spans="1:3">
      <c r="A8" t="s">
        <v>518</v>
      </c>
      <c r="B8">
        <v>6</v>
      </c>
      <c r="C8" t="s">
        <v>424</v>
      </c>
    </row>
    <row r="9" spans="1:3">
      <c r="A9" t="s">
        <v>519</v>
      </c>
      <c r="B9">
        <v>6</v>
      </c>
      <c r="C9" t="s">
        <v>426</v>
      </c>
    </row>
    <row r="10" spans="1:3">
      <c r="A10" t="s">
        <v>421</v>
      </c>
      <c r="B10">
        <v>6</v>
      </c>
      <c r="C10" t="s">
        <v>428</v>
      </c>
    </row>
    <row r="11" spans="1:3">
      <c r="A11" t="s">
        <v>423</v>
      </c>
      <c r="B11">
        <v>7</v>
      </c>
      <c r="C11" t="s">
        <v>520</v>
      </c>
    </row>
    <row r="12" spans="1:3">
      <c r="A12" t="s">
        <v>425</v>
      </c>
      <c r="B12">
        <v>7</v>
      </c>
      <c r="C12" t="s">
        <v>521</v>
      </c>
    </row>
    <row r="13" spans="1:3">
      <c r="A13" t="s">
        <v>427</v>
      </c>
      <c r="B13">
        <v>7</v>
      </c>
      <c r="C13" t="s">
        <v>522</v>
      </c>
    </row>
    <row r="14" spans="1:3">
      <c r="A14" t="s">
        <v>429</v>
      </c>
      <c r="B14">
        <v>7</v>
      </c>
      <c r="C14" t="s">
        <v>523</v>
      </c>
    </row>
    <row r="15" spans="1:3">
      <c r="A15" t="s">
        <v>525</v>
      </c>
      <c r="B15">
        <v>8</v>
      </c>
      <c r="C15" t="s">
        <v>524</v>
      </c>
    </row>
    <row r="16" spans="1:3">
      <c r="A16" t="s">
        <v>431</v>
      </c>
      <c r="B16">
        <v>9</v>
      </c>
      <c r="C16" t="s">
        <v>430</v>
      </c>
    </row>
    <row r="17" spans="1:3">
      <c r="A17" t="s">
        <v>433</v>
      </c>
      <c r="B17">
        <v>9</v>
      </c>
      <c r="C17" t="s">
        <v>432</v>
      </c>
    </row>
    <row r="18" spans="1:3">
      <c r="A18" t="s">
        <v>435</v>
      </c>
      <c r="B18">
        <v>9</v>
      </c>
      <c r="C18" t="s">
        <v>434</v>
      </c>
    </row>
    <row r="19" spans="1:3">
      <c r="A19" t="s">
        <v>437</v>
      </c>
      <c r="B19">
        <v>10</v>
      </c>
      <c r="C19" t="s">
        <v>436</v>
      </c>
    </row>
    <row r="20" spans="1:3">
      <c r="A20" t="s">
        <v>439</v>
      </c>
      <c r="B20">
        <v>10</v>
      </c>
      <c r="C20" t="s">
        <v>438</v>
      </c>
    </row>
    <row r="21" spans="1:3">
      <c r="A21" t="s">
        <v>368</v>
      </c>
      <c r="B21">
        <v>10</v>
      </c>
      <c r="C21" t="s">
        <v>356</v>
      </c>
    </row>
    <row r="22" spans="1:3">
      <c r="A22" t="s">
        <v>369</v>
      </c>
      <c r="B22">
        <v>10</v>
      </c>
      <c r="C22" t="s">
        <v>357</v>
      </c>
    </row>
    <row r="23" spans="1:3">
      <c r="A23" t="s">
        <v>370</v>
      </c>
      <c r="B23">
        <v>11</v>
      </c>
      <c r="C23" t="s">
        <v>358</v>
      </c>
    </row>
    <row r="24" spans="1:3">
      <c r="A24" t="s">
        <v>371</v>
      </c>
      <c r="B24">
        <v>12</v>
      </c>
      <c r="C24" t="s">
        <v>359</v>
      </c>
    </row>
    <row r="25" spans="1:3">
      <c r="A25" t="s">
        <v>372</v>
      </c>
      <c r="B25">
        <v>12</v>
      </c>
      <c r="C25" t="s">
        <v>360</v>
      </c>
    </row>
    <row r="26" spans="1:3">
      <c r="A26" t="s">
        <v>373</v>
      </c>
      <c r="B26">
        <v>13</v>
      </c>
      <c r="C26" t="s">
        <v>361</v>
      </c>
    </row>
    <row r="27" spans="1:3">
      <c r="A27" t="s">
        <v>374</v>
      </c>
      <c r="B27">
        <v>13</v>
      </c>
      <c r="C27" t="s">
        <v>362</v>
      </c>
    </row>
    <row r="28" spans="1:3">
      <c r="A28" t="s">
        <v>375</v>
      </c>
      <c r="B28">
        <v>15</v>
      </c>
      <c r="C28" t="s">
        <v>363</v>
      </c>
    </row>
    <row r="29" spans="1:3">
      <c r="A29" t="s">
        <v>526</v>
      </c>
      <c r="B29">
        <v>15</v>
      </c>
      <c r="C29" t="s">
        <v>364</v>
      </c>
    </row>
    <row r="30" spans="1:3">
      <c r="A30" t="s">
        <v>376</v>
      </c>
      <c r="B30">
        <v>16</v>
      </c>
      <c r="C30" t="s">
        <v>365</v>
      </c>
    </row>
    <row r="31" spans="1:3">
      <c r="A31" t="s">
        <v>34</v>
      </c>
      <c r="B31">
        <v>16</v>
      </c>
      <c r="C31" t="s">
        <v>187</v>
      </c>
    </row>
    <row r="32" spans="1:3">
      <c r="A32" t="s">
        <v>157</v>
      </c>
      <c r="B32">
        <v>18</v>
      </c>
      <c r="C32" t="s">
        <v>188</v>
      </c>
    </row>
    <row r="33" spans="1:3">
      <c r="A33" t="s">
        <v>377</v>
      </c>
      <c r="B33">
        <v>18</v>
      </c>
      <c r="C33" t="s">
        <v>366</v>
      </c>
    </row>
    <row r="34" spans="1:3">
      <c r="A34" t="s">
        <v>42</v>
      </c>
      <c r="B34">
        <v>18</v>
      </c>
      <c r="C34" t="s">
        <v>189</v>
      </c>
    </row>
    <row r="35" spans="1:3">
      <c r="A35" t="s">
        <v>378</v>
      </c>
      <c r="B35">
        <v>19</v>
      </c>
      <c r="C35" t="s">
        <v>190</v>
      </c>
    </row>
    <row r="36" spans="1:3">
      <c r="A36" t="s">
        <v>43</v>
      </c>
      <c r="B36">
        <v>19</v>
      </c>
      <c r="C36" t="s">
        <v>367</v>
      </c>
    </row>
    <row r="37" spans="1:3">
      <c r="A37" t="s">
        <v>182</v>
      </c>
      <c r="B37">
        <v>19</v>
      </c>
      <c r="C37" t="s">
        <v>191</v>
      </c>
    </row>
    <row r="38" spans="1:3">
      <c r="A38" t="s">
        <v>379</v>
      </c>
      <c r="B38">
        <v>20</v>
      </c>
      <c r="C38" t="s">
        <v>192</v>
      </c>
    </row>
    <row r="39" spans="1:3">
      <c r="A39" t="s">
        <v>380</v>
      </c>
      <c r="B39">
        <v>20</v>
      </c>
      <c r="C39" t="s">
        <v>193</v>
      </c>
    </row>
    <row r="40" spans="1:3">
      <c r="A40" t="s">
        <v>29</v>
      </c>
      <c r="B40">
        <v>20</v>
      </c>
      <c r="C40" t="s">
        <v>381</v>
      </c>
    </row>
    <row r="41" spans="1:3">
      <c r="A41" t="s">
        <v>159</v>
      </c>
      <c r="B41">
        <v>21</v>
      </c>
      <c r="C41" t="s">
        <v>382</v>
      </c>
    </row>
    <row r="42" spans="1:3">
      <c r="A42" t="s">
        <v>160</v>
      </c>
      <c r="B42">
        <v>22</v>
      </c>
      <c r="C42" t="s">
        <v>383</v>
      </c>
    </row>
    <row r="43" spans="1:3">
      <c r="A43" t="s">
        <v>384</v>
      </c>
      <c r="B43">
        <v>22</v>
      </c>
      <c r="C43" t="s">
        <v>385</v>
      </c>
    </row>
    <row r="44" spans="1:3">
      <c r="A44" t="s">
        <v>386</v>
      </c>
      <c r="B44">
        <v>22</v>
      </c>
      <c r="C44" t="s">
        <v>387</v>
      </c>
    </row>
    <row r="45" spans="1:3">
      <c r="A45" t="s">
        <v>388</v>
      </c>
      <c r="B45">
        <v>22</v>
      </c>
      <c r="C45" t="s">
        <v>389</v>
      </c>
    </row>
    <row r="46" spans="1:3">
      <c r="A46" t="s">
        <v>390</v>
      </c>
      <c r="B46">
        <v>22</v>
      </c>
      <c r="C46" t="s">
        <v>194</v>
      </c>
    </row>
    <row r="47" spans="1:3">
      <c r="A47" t="s">
        <v>391</v>
      </c>
      <c r="B47">
        <v>22</v>
      </c>
      <c r="C47" t="s">
        <v>195</v>
      </c>
    </row>
    <row r="48" spans="1:3">
      <c r="A48" t="s">
        <v>392</v>
      </c>
      <c r="B48">
        <v>22</v>
      </c>
      <c r="C48" t="s">
        <v>393</v>
      </c>
    </row>
    <row r="49" spans="1:3">
      <c r="A49" t="s">
        <v>394</v>
      </c>
      <c r="B49">
        <v>23</v>
      </c>
      <c r="C49" t="s">
        <v>395</v>
      </c>
    </row>
    <row r="50" spans="1:3">
      <c r="A50" t="s">
        <v>396</v>
      </c>
      <c r="B50">
        <v>24</v>
      </c>
      <c r="C50" t="s">
        <v>397</v>
      </c>
    </row>
    <row r="51" spans="1:3">
      <c r="A51" t="s">
        <v>398</v>
      </c>
      <c r="B51">
        <v>24</v>
      </c>
      <c r="C51" t="s">
        <v>196</v>
      </c>
    </row>
    <row r="52" spans="1:3">
      <c r="A52" t="s">
        <v>399</v>
      </c>
      <c r="B52">
        <v>24</v>
      </c>
      <c r="C52" t="s">
        <v>400</v>
      </c>
    </row>
    <row r="53" spans="1:3">
      <c r="A53" t="s">
        <v>161</v>
      </c>
      <c r="B53">
        <v>24</v>
      </c>
      <c r="C53" t="s">
        <v>401</v>
      </c>
    </row>
    <row r="54" spans="1:3">
      <c r="A54" t="s">
        <v>402</v>
      </c>
      <c r="B54">
        <v>24</v>
      </c>
      <c r="C54" t="s">
        <v>403</v>
      </c>
    </row>
    <row r="55" spans="1:3">
      <c r="A55" t="s">
        <v>404</v>
      </c>
      <c r="B55">
        <v>24</v>
      </c>
      <c r="C55" t="s">
        <v>527</v>
      </c>
    </row>
    <row r="56" spans="1:3">
      <c r="A56" t="s">
        <v>440</v>
      </c>
      <c r="B56">
        <v>26</v>
      </c>
      <c r="C56" t="s">
        <v>405</v>
      </c>
    </row>
    <row r="57" spans="1:3">
      <c r="A57" t="s">
        <v>441</v>
      </c>
      <c r="B57">
        <v>26</v>
      </c>
      <c r="C57" t="s">
        <v>406</v>
      </c>
    </row>
    <row r="58" spans="1:3">
      <c r="A58" t="s">
        <v>408</v>
      </c>
      <c r="B58">
        <v>26</v>
      </c>
      <c r="C58" t="s">
        <v>407</v>
      </c>
    </row>
    <row r="59" spans="1:3">
      <c r="A59" t="s">
        <v>227</v>
      </c>
      <c r="B59">
        <v>26</v>
      </c>
      <c r="C59" t="s">
        <v>162</v>
      </c>
    </row>
    <row r="60" spans="1:3">
      <c r="A60" t="s">
        <v>442</v>
      </c>
      <c r="B60">
        <v>27</v>
      </c>
      <c r="C60" t="s">
        <v>409</v>
      </c>
    </row>
    <row r="61" spans="1:3">
      <c r="A61" t="s">
        <v>443</v>
      </c>
      <c r="B61">
        <v>27</v>
      </c>
      <c r="C61" t="s">
        <v>410</v>
      </c>
    </row>
    <row r="62" spans="1:3">
      <c r="A62" t="s">
        <v>412</v>
      </c>
      <c r="B62">
        <v>27</v>
      </c>
      <c r="C62" t="s">
        <v>411</v>
      </c>
    </row>
    <row r="63" spans="1:3">
      <c r="A63" t="s">
        <v>445</v>
      </c>
      <c r="B63">
        <v>29</v>
      </c>
      <c r="C63" t="s">
        <v>444</v>
      </c>
    </row>
    <row r="64" spans="1:3">
      <c r="A64" t="s">
        <v>180</v>
      </c>
      <c r="B64">
        <v>30</v>
      </c>
      <c r="C64" t="s">
        <v>176</v>
      </c>
    </row>
    <row r="65" spans="1:3">
      <c r="A65" t="s">
        <v>433</v>
      </c>
      <c r="B65">
        <v>30</v>
      </c>
      <c r="C65" t="s">
        <v>446</v>
      </c>
    </row>
    <row r="66" spans="1:3">
      <c r="A66" t="s">
        <v>435</v>
      </c>
      <c r="B66">
        <v>30</v>
      </c>
      <c r="C66" t="s">
        <v>447</v>
      </c>
    </row>
    <row r="67" spans="1:3">
      <c r="A67" t="s">
        <v>437</v>
      </c>
      <c r="B67">
        <v>31</v>
      </c>
      <c r="C67" t="s">
        <v>448</v>
      </c>
    </row>
    <row r="68" spans="1:3">
      <c r="A68" t="s">
        <v>450</v>
      </c>
      <c r="B68">
        <v>35</v>
      </c>
      <c r="C68" t="s">
        <v>449</v>
      </c>
    </row>
    <row r="69" spans="1:3">
      <c r="A69" t="s">
        <v>544</v>
      </c>
      <c r="B69">
        <v>36</v>
      </c>
      <c r="C69" t="s">
        <v>451</v>
      </c>
    </row>
    <row r="70" spans="1:3">
      <c r="A70" t="s">
        <v>433</v>
      </c>
      <c r="B70">
        <v>36</v>
      </c>
      <c r="C70" t="s">
        <v>453</v>
      </c>
    </row>
    <row r="71" spans="1:3">
      <c r="A71" t="s">
        <v>435</v>
      </c>
      <c r="B71">
        <v>36</v>
      </c>
      <c r="C71" t="s">
        <v>454</v>
      </c>
    </row>
    <row r="72" spans="1:3">
      <c r="A72" t="s">
        <v>437</v>
      </c>
      <c r="B72">
        <v>36</v>
      </c>
      <c r="C72" t="s">
        <v>455</v>
      </c>
    </row>
    <row r="73" spans="1:3">
      <c r="A73" t="s">
        <v>450</v>
      </c>
      <c r="B73">
        <v>36</v>
      </c>
      <c r="C73" t="s">
        <v>456</v>
      </c>
    </row>
    <row r="74" spans="1:3">
      <c r="A74" t="s">
        <v>457</v>
      </c>
      <c r="B74">
        <v>37</v>
      </c>
      <c r="C74" t="s">
        <v>177</v>
      </c>
    </row>
    <row r="75" spans="1:3">
      <c r="A75" t="s">
        <v>433</v>
      </c>
      <c r="B75">
        <v>37</v>
      </c>
      <c r="C75" t="s">
        <v>458</v>
      </c>
    </row>
    <row r="76" spans="1:3">
      <c r="A76" t="s">
        <v>435</v>
      </c>
      <c r="B76">
        <v>38</v>
      </c>
      <c r="C76" t="s">
        <v>459</v>
      </c>
    </row>
    <row r="77" spans="1:3">
      <c r="A77" t="s">
        <v>437</v>
      </c>
      <c r="B77">
        <v>38</v>
      </c>
      <c r="C77" t="s">
        <v>460</v>
      </c>
    </row>
    <row r="78" spans="1:3">
      <c r="A78" t="s">
        <v>450</v>
      </c>
      <c r="B78">
        <v>38</v>
      </c>
      <c r="C78" t="s">
        <v>461</v>
      </c>
    </row>
    <row r="79" spans="1:3">
      <c r="A79" t="s">
        <v>463</v>
      </c>
      <c r="B79">
        <v>38</v>
      </c>
      <c r="C79" t="s">
        <v>462</v>
      </c>
    </row>
    <row r="80" spans="1:3">
      <c r="A80" t="s">
        <v>543</v>
      </c>
      <c r="B80">
        <v>39</v>
      </c>
      <c r="C80" t="s">
        <v>197</v>
      </c>
    </row>
    <row r="81" spans="1:3">
      <c r="A81" t="s">
        <v>433</v>
      </c>
      <c r="B81">
        <v>39</v>
      </c>
      <c r="C81" t="s">
        <v>464</v>
      </c>
    </row>
    <row r="82" spans="1:3">
      <c r="A82" t="s">
        <v>435</v>
      </c>
      <c r="B82">
        <v>39</v>
      </c>
      <c r="C82" t="s">
        <v>465</v>
      </c>
    </row>
    <row r="83" spans="1:3">
      <c r="A83" t="s">
        <v>437</v>
      </c>
      <c r="B83">
        <v>39</v>
      </c>
      <c r="C83" t="s">
        <v>466</v>
      </c>
    </row>
    <row r="84" spans="1:3">
      <c r="A84" t="s">
        <v>450</v>
      </c>
      <c r="B84">
        <v>39</v>
      </c>
      <c r="C84" t="s">
        <v>467</v>
      </c>
    </row>
    <row r="85" spans="1:3">
      <c r="A85" t="s">
        <v>169</v>
      </c>
      <c r="B85">
        <v>41</v>
      </c>
      <c r="C85" t="s">
        <v>198</v>
      </c>
    </row>
    <row r="86" spans="1:3">
      <c r="A86" t="s">
        <v>433</v>
      </c>
      <c r="B86">
        <v>41</v>
      </c>
      <c r="C86" t="s">
        <v>468</v>
      </c>
    </row>
    <row r="87" spans="1:3">
      <c r="A87" t="s">
        <v>435</v>
      </c>
      <c r="B87">
        <v>41</v>
      </c>
      <c r="C87" t="s">
        <v>469</v>
      </c>
    </row>
    <row r="88" spans="1:3">
      <c r="A88" t="s">
        <v>437</v>
      </c>
      <c r="B88">
        <v>41</v>
      </c>
      <c r="C88" t="s">
        <v>470</v>
      </c>
    </row>
    <row r="89" spans="1:3">
      <c r="A89" t="s">
        <v>450</v>
      </c>
      <c r="B89">
        <v>42</v>
      </c>
      <c r="C89" t="s">
        <v>471</v>
      </c>
    </row>
    <row r="90" spans="1:3">
      <c r="A90" t="s">
        <v>472</v>
      </c>
      <c r="B90">
        <v>43</v>
      </c>
      <c r="C90" t="s">
        <v>199</v>
      </c>
    </row>
    <row r="91" spans="1:3">
      <c r="A91" t="s">
        <v>433</v>
      </c>
      <c r="B91">
        <v>43</v>
      </c>
      <c r="C91" t="s">
        <v>473</v>
      </c>
    </row>
    <row r="92" spans="1:3">
      <c r="A92" t="s">
        <v>435</v>
      </c>
      <c r="B92">
        <v>43</v>
      </c>
      <c r="C92" t="s">
        <v>474</v>
      </c>
    </row>
    <row r="93" spans="1:3">
      <c r="A93" t="s">
        <v>437</v>
      </c>
      <c r="B93">
        <v>43</v>
      </c>
      <c r="C93" t="s">
        <v>475</v>
      </c>
    </row>
    <row r="94" spans="1:3">
      <c r="A94" t="s">
        <v>450</v>
      </c>
      <c r="B94">
        <v>43</v>
      </c>
      <c r="C94" t="s">
        <v>476</v>
      </c>
    </row>
    <row r="95" spans="1:3">
      <c r="A95" t="s">
        <v>174</v>
      </c>
      <c r="B95">
        <v>45</v>
      </c>
      <c r="C95" t="s">
        <v>200</v>
      </c>
    </row>
    <row r="96" spans="1:3">
      <c r="A96" t="s">
        <v>433</v>
      </c>
      <c r="B96">
        <v>45</v>
      </c>
      <c r="C96" t="s">
        <v>477</v>
      </c>
    </row>
    <row r="97" spans="1:3">
      <c r="A97" t="s">
        <v>435</v>
      </c>
      <c r="B97">
        <v>45</v>
      </c>
      <c r="C97" t="s">
        <v>478</v>
      </c>
    </row>
    <row r="98" spans="1:3">
      <c r="A98" t="s">
        <v>437</v>
      </c>
      <c r="B98">
        <v>46</v>
      </c>
      <c r="C98" t="s">
        <v>479</v>
      </c>
    </row>
    <row r="99" spans="1:3">
      <c r="A99" t="s">
        <v>450</v>
      </c>
      <c r="B99">
        <v>46</v>
      </c>
      <c r="C99" t="s">
        <v>480</v>
      </c>
    </row>
    <row r="100" spans="1:3">
      <c r="A100" t="s">
        <v>231</v>
      </c>
      <c r="B100">
        <v>47</v>
      </c>
      <c r="C100" t="s">
        <v>201</v>
      </c>
    </row>
    <row r="101" spans="1:3">
      <c r="A101" t="s">
        <v>433</v>
      </c>
      <c r="B101">
        <v>47</v>
      </c>
      <c r="C101" t="s">
        <v>481</v>
      </c>
    </row>
    <row r="102" spans="1:3">
      <c r="A102" t="s">
        <v>435</v>
      </c>
      <c r="B102">
        <v>47</v>
      </c>
      <c r="C102" t="s">
        <v>482</v>
      </c>
    </row>
    <row r="103" spans="1:3">
      <c r="A103" t="s">
        <v>437</v>
      </c>
      <c r="B103">
        <v>47</v>
      </c>
      <c r="C103" t="s">
        <v>483</v>
      </c>
    </row>
    <row r="104" spans="1:3">
      <c r="A104" t="s">
        <v>450</v>
      </c>
      <c r="B104">
        <v>47</v>
      </c>
      <c r="C104" t="s">
        <v>484</v>
      </c>
    </row>
    <row r="105" spans="1:3">
      <c r="A105" t="s">
        <v>184</v>
      </c>
      <c r="B105">
        <v>48</v>
      </c>
      <c r="C105" t="s">
        <v>202</v>
      </c>
    </row>
    <row r="106" spans="1:3">
      <c r="A106" t="s">
        <v>486</v>
      </c>
      <c r="B106">
        <v>48</v>
      </c>
      <c r="C106" t="s">
        <v>485</v>
      </c>
    </row>
    <row r="107" spans="1:3">
      <c r="A107" t="s">
        <v>488</v>
      </c>
      <c r="B107">
        <v>48</v>
      </c>
      <c r="C107" t="s">
        <v>487</v>
      </c>
    </row>
    <row r="108" spans="1:3">
      <c r="A108" t="s">
        <v>490</v>
      </c>
      <c r="B108">
        <v>50</v>
      </c>
      <c r="C108" t="s">
        <v>489</v>
      </c>
    </row>
    <row r="109" spans="1:3">
      <c r="A109" t="s">
        <v>321</v>
      </c>
      <c r="B109">
        <v>50</v>
      </c>
      <c r="C109" t="s">
        <v>491</v>
      </c>
    </row>
    <row r="110" spans="1:3">
      <c r="A110" t="s">
        <v>492</v>
      </c>
      <c r="B110">
        <v>50</v>
      </c>
      <c r="C110" t="s">
        <v>493</v>
      </c>
    </row>
    <row r="111" spans="1:3">
      <c r="A111" t="s">
        <v>494</v>
      </c>
      <c r="B111">
        <v>52</v>
      </c>
      <c r="C111" t="s">
        <v>495</v>
      </c>
    </row>
    <row r="112" spans="1:3">
      <c r="A112" t="s">
        <v>496</v>
      </c>
      <c r="B112">
        <v>54</v>
      </c>
      <c r="C112" t="s">
        <v>497</v>
      </c>
    </row>
    <row r="113" spans="1:3">
      <c r="A113" t="s">
        <v>498</v>
      </c>
      <c r="B113">
        <v>54</v>
      </c>
      <c r="C113" t="s">
        <v>528</v>
      </c>
    </row>
    <row r="114" spans="1:3">
      <c r="A114" t="s">
        <v>499</v>
      </c>
      <c r="B114">
        <v>56</v>
      </c>
      <c r="C114" t="s">
        <v>203</v>
      </c>
    </row>
    <row r="115" spans="1:3">
      <c r="A115" t="s">
        <v>433</v>
      </c>
      <c r="B115">
        <v>56</v>
      </c>
      <c r="C115" t="s">
        <v>500</v>
      </c>
    </row>
    <row r="116" spans="1:3">
      <c r="A116" t="s">
        <v>435</v>
      </c>
      <c r="B116">
        <v>56</v>
      </c>
      <c r="C116" t="s">
        <v>501</v>
      </c>
    </row>
    <row r="117" spans="1:3">
      <c r="A117" t="s">
        <v>437</v>
      </c>
      <c r="B117">
        <v>56</v>
      </c>
      <c r="C117" t="s">
        <v>502</v>
      </c>
    </row>
    <row r="118" spans="1:3">
      <c r="A118" t="s">
        <v>450</v>
      </c>
      <c r="B118">
        <v>56</v>
      </c>
      <c r="C118" t="s">
        <v>503</v>
      </c>
    </row>
    <row r="119" spans="1:3">
      <c r="A119" t="s">
        <v>505</v>
      </c>
      <c r="B119">
        <v>57</v>
      </c>
      <c r="C119" t="s">
        <v>504</v>
      </c>
    </row>
    <row r="120" spans="1:3">
      <c r="A120" t="s">
        <v>507</v>
      </c>
      <c r="B120">
        <v>57</v>
      </c>
      <c r="C120" t="s">
        <v>506</v>
      </c>
    </row>
    <row r="121" spans="1:3">
      <c r="A121" t="s">
        <v>509</v>
      </c>
      <c r="B121">
        <v>58</v>
      </c>
      <c r="C121" t="s">
        <v>508</v>
      </c>
    </row>
    <row r="123" spans="1:3">
      <c r="A123" t="s">
        <v>30</v>
      </c>
      <c r="C123" t="s">
        <v>362</v>
      </c>
    </row>
    <row r="124" spans="1:3">
      <c r="A124" t="s">
        <v>31</v>
      </c>
      <c r="C124" t="s">
        <v>362</v>
      </c>
    </row>
    <row r="125" spans="1:3">
      <c r="A125" t="s">
        <v>32</v>
      </c>
      <c r="C125" t="s">
        <v>362</v>
      </c>
    </row>
    <row r="126" spans="1:3">
      <c r="A126" t="s">
        <v>33</v>
      </c>
      <c r="C126" t="s">
        <v>362</v>
      </c>
    </row>
    <row r="189" spans="1:1">
      <c r="A189" t="s">
        <v>530</v>
      </c>
    </row>
  </sheetData>
  <sheetProtection algorithmName="SHA-512" hashValue="JIWNhDh/gJwLWI1Hj7NZMg4+UvWLtck9utwWR2n713oeVKrvUUjc7XJiIKMGBqIEy3AU8MknWKbp6X1Cd8FzfQ==" saltValue="hzRPivlTkfatZ97N+yB3CA==" spinCount="100000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78</v>
      </c>
      <c r="B3" s="23" t="s">
        <v>79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152" t="s">
        <v>254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8.3000000000000007</v>
      </c>
      <c r="E5" s="152" t="s">
        <v>253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IF(Tabel_Totaal_werkzaamheden221[[#This Row],[OMSCHRIJVING]]="","",_xlfn.XLOOKUP(Tabel_Totaal_werkzaamheden221[[#This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VLOOKUP(Tabel_Totaal_werkzaamheden221[[#This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VLOOKUP(Tabel_Totaal_werkzaamheden221[[#This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VLOOKUP(Tabel_Totaal_werkzaamheden221[[#This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VLOOKUP(Tabel_Totaal_werkzaamheden221[[#This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VLOOKUP(Tabel_Totaal_werkzaamheden221[[#This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VLOOKUP(Tabel_Totaal_werkzaamheden221[[#This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VLOOKUP(Tabel_Totaal_werkzaamheden221[[#This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VLOOKUP(Tabel_Totaal_werkzaamheden221[[#This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VLOOKUP(Tabel_Totaal_werkzaamheden221[[#This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VLOOKUP(Tabel_Totaal_werkzaamheden221[[#This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VLOOKUP(Tabel_Totaal_werkzaamheden221[[#This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VLOOKUP(Tabel_Totaal_werkzaamheden221[[#This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VLOOKUP(Tabel_Totaal_werkzaamheden221[[#This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237</v>
      </c>
      <c r="C51" s="66" t="s">
        <v>26</v>
      </c>
      <c r="D51" s="54">
        <v>65</v>
      </c>
      <c r="E51" s="188"/>
      <c r="F51" s="55"/>
      <c r="I51" s="21"/>
    </row>
    <row r="52" spans="1:10" ht="15.95" customHeight="1">
      <c r="A52" s="1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VLOOKUP(Tabel_Totaal_werkzaamheden221[[#This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"/>
      <c r="B54" s="60" t="s">
        <v>545</v>
      </c>
      <c r="C54" s="66" t="s">
        <v>26</v>
      </c>
      <c r="D54" s="54">
        <v>25</v>
      </c>
      <c r="E54" s="188"/>
      <c r="F54" s="55"/>
    </row>
    <row r="55" spans="1:10" ht="15.95" customHeight="1">
      <c r="A55" s="1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VLOOKUP(Tabel_Totaal_werkzaamheden221[[#This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19" t="s">
        <v>178</v>
      </c>
      <c r="C59" s="66" t="s">
        <v>24</v>
      </c>
      <c r="D59" s="54">
        <v>17</v>
      </c>
      <c r="E59" s="188"/>
      <c r="F59" s="55"/>
      <c r="I59" s="71"/>
      <c r="J59" s="71"/>
    </row>
    <row r="60" spans="1:10" ht="15.95" customHeight="1">
      <c r="A60" s="1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VLOOKUP(Tabel_Totaal_werkzaamheden221[[#This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"/>
      <c r="B68" s="52" t="s">
        <v>547</v>
      </c>
      <c r="C68" s="66" t="s">
        <v>26</v>
      </c>
      <c r="D68" s="54">
        <v>25</v>
      </c>
      <c r="E68" s="188"/>
      <c r="F68" s="55"/>
    </row>
    <row r="69" spans="1:8" ht="15.95" customHeight="1">
      <c r="A69" s="1"/>
      <c r="B69" s="52" t="s">
        <v>27</v>
      </c>
      <c r="C69" s="66" t="s">
        <v>24</v>
      </c>
      <c r="D69" s="54">
        <v>17</v>
      </c>
      <c r="E69" s="188"/>
      <c r="F69" s="55"/>
    </row>
    <row r="70" spans="1:8" ht="15.95" customHeight="1">
      <c r="A70" s="1"/>
      <c r="B70" s="52" t="s">
        <v>181</v>
      </c>
      <c r="C70" s="66" t="s">
        <v>24</v>
      </c>
      <c r="D70" s="54">
        <v>14</v>
      </c>
      <c r="E70" s="188"/>
      <c r="F70" s="55"/>
    </row>
    <row r="71" spans="1:8" ht="15.95" customHeight="1">
      <c r="A71" s="1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VLOOKUP(Tabel_Totaal_werkzaamheden221[[#This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"/>
      <c r="B74" s="164" t="s">
        <v>340</v>
      </c>
      <c r="C74" s="162" t="s">
        <v>26</v>
      </c>
      <c r="D74" s="156">
        <v>65</v>
      </c>
      <c r="E74" s="193"/>
      <c r="F74" s="157"/>
      <c r="G74" s="163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VLOOKUP(Tabel_Totaal_werkzaamheden221[[#This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VLOOKUP(Tabel_Totaal_werkzaamheden221[[#This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" t="str">
        <f>IF(Tabel_Totaal_werkzaamheden221[[#This Row],[OMSCHRIJVING]]="","",_xlfn.XLOOKUP(Tabel_Totaal_werkzaamheden221[[#This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Ganzenhoek</v>
      </c>
      <c r="E82" s="209" t="str">
        <f>A3</f>
        <v>HOE-11</v>
      </c>
      <c r="F82" s="210">
        <f>SUBTOTAL(109,Tabel_Totaal_werkzaamheden221[TOTAALBEDRAG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80</v>
      </c>
      <c r="B3" s="23" t="s">
        <v>81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31" t="s">
        <v>304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9.5</v>
      </c>
      <c r="E5" s="31" t="s">
        <v>305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IF(Tabel_Totaal_werkzaamheden222[[#This Row],[OMSCHRIJVING]]="","",_xlfn.XLOOKUP(Tabel_Totaal_werkzaamheden222[[#This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VLOOKUP(Tabel_Totaal_werkzaamheden222[[#This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VLOOKUP(Tabel_Totaal_werkzaamheden222[[#This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VLOOKUP(Tabel_Totaal_werkzaamheden222[[#This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VLOOKUP(Tabel_Totaal_werkzaamheden222[[#This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VLOOKUP(Tabel_Totaal_werkzaamheden222[[#This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VLOOKUP(Tabel_Totaal_werkzaamheden222[[#This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VLOOKUP(Tabel_Totaal_werkzaamheden222[[#This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VLOOKUP(Tabel_Totaal_werkzaamheden222[[#This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VLOOKUP(Tabel_Totaal_werkzaamheden222[[#This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VLOOKUP(Tabel_Totaal_werkzaamheden222[[#This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VLOOKUP(Tabel_Totaal_werkzaamheden222[[#This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VLOOKUP(Tabel_Totaal_werkzaamheden222[[#This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VLOOKUP(Tabel_Totaal_werkzaamheden222[[#This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237</v>
      </c>
      <c r="C51" s="66" t="s">
        <v>26</v>
      </c>
      <c r="D51" s="54">
        <v>32</v>
      </c>
      <c r="E51" s="188"/>
      <c r="F51" s="55"/>
      <c r="I51" s="21"/>
    </row>
    <row r="52" spans="1:10" ht="15.95" customHeight="1">
      <c r="A52" s="1"/>
      <c r="B52" s="52" t="s">
        <v>323</v>
      </c>
      <c r="C52" s="66" t="s">
        <v>24</v>
      </c>
      <c r="D52" s="54">
        <v>40</v>
      </c>
      <c r="E52" s="188"/>
      <c r="F52" s="55"/>
    </row>
    <row r="53" spans="1:10" ht="15.95" customHeight="1">
      <c r="A53" s="1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VLOOKUP(Tabel_Totaal_werkzaamheden222[[#This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"/>
      <c r="B55" s="60" t="s">
        <v>545</v>
      </c>
      <c r="C55" s="66" t="s">
        <v>26</v>
      </c>
      <c r="D55" s="54">
        <v>17.5</v>
      </c>
      <c r="E55" s="188"/>
      <c r="F55" s="55"/>
    </row>
    <row r="56" spans="1:10" ht="15.95" customHeight="1">
      <c r="A56" s="1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VLOOKUP(Tabel_Totaal_werkzaamheden222[[#This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"/>
      <c r="B60" s="19" t="s">
        <v>178</v>
      </c>
      <c r="C60" s="66" t="s">
        <v>24</v>
      </c>
      <c r="D60" s="54">
        <v>19</v>
      </c>
      <c r="E60" s="188"/>
      <c r="F60" s="55"/>
      <c r="I60" s="71"/>
      <c r="J60" s="71"/>
    </row>
    <row r="61" spans="1:10" ht="15.95" customHeight="1">
      <c r="A61" s="1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VLOOKUP(Tabel_Totaal_werkzaamheden222[[#This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"/>
      <c r="B69" s="52" t="s">
        <v>542</v>
      </c>
      <c r="C69" s="66" t="s">
        <v>26</v>
      </c>
      <c r="D69" s="54">
        <v>17.5</v>
      </c>
      <c r="E69" s="188"/>
      <c r="F69" s="55"/>
    </row>
    <row r="70" spans="1:8" ht="15.95" customHeight="1">
      <c r="A70" s="1"/>
      <c r="B70" s="52" t="s">
        <v>27</v>
      </c>
      <c r="C70" s="66" t="s">
        <v>24</v>
      </c>
      <c r="D70" s="54">
        <v>19</v>
      </c>
      <c r="E70" s="188"/>
      <c r="F70" s="55"/>
    </row>
    <row r="71" spans="1:8" ht="15.95" customHeight="1">
      <c r="A71" s="1"/>
      <c r="B71" s="52" t="s">
        <v>181</v>
      </c>
      <c r="C71" s="66" t="s">
        <v>24</v>
      </c>
      <c r="D71" s="54">
        <v>12</v>
      </c>
      <c r="E71" s="188"/>
      <c r="F71" s="55"/>
    </row>
    <row r="72" spans="1:8" ht="15.95" customHeight="1">
      <c r="A72" s="1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VLOOKUP(Tabel_Totaal_werkzaamheden222[[#This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s="164" customFormat="1" ht="25.5">
      <c r="A75" s="1"/>
      <c r="B75" s="164" t="s">
        <v>340</v>
      </c>
      <c r="C75" s="162" t="s">
        <v>26</v>
      </c>
      <c r="D75" s="156">
        <v>32</v>
      </c>
      <c r="E75" s="193"/>
      <c r="F75" s="157"/>
      <c r="G75" s="163"/>
    </row>
    <row r="76" spans="1:8" ht="15.95" customHeight="1">
      <c r="A76" s="1"/>
      <c r="B76" s="52" t="s">
        <v>322</v>
      </c>
      <c r="C76" s="66" t="s">
        <v>24</v>
      </c>
      <c r="D76" s="54">
        <v>40</v>
      </c>
      <c r="E76" s="188"/>
      <c r="F76" s="55"/>
    </row>
    <row r="77" spans="1:8" ht="15.95" customHeight="1">
      <c r="A77" s="1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VLOOKUP(Tabel_Totaal_werkzaamheden222[[#This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VLOOKUP(Tabel_Totaal_werkzaamheden222[[#This Row],[OMSCHRIJVING]],Blad1!A:C,3,FALSE)</f>
        <v>3.10</v>
      </c>
      <c r="B81" s="15" t="s">
        <v>499</v>
      </c>
      <c r="C81" s="66"/>
      <c r="D81" s="54"/>
      <c r="E81" s="188"/>
      <c r="F81" s="55"/>
    </row>
    <row r="82" spans="1:7" ht="15.95" customHeight="1">
      <c r="A82" s="1"/>
      <c r="B82" s="52" t="s">
        <v>230</v>
      </c>
      <c r="C82" s="66" t="s">
        <v>18</v>
      </c>
      <c r="D82" s="54">
        <v>1</v>
      </c>
      <c r="E82" s="188"/>
      <c r="F82" s="55"/>
    </row>
    <row r="83" spans="1:7" ht="15.95" customHeight="1">
      <c r="A83" s="1" t="str">
        <f>IF(Tabel_Totaal_werkzaamheden222[[#This Row],[OMSCHRIJVING]]="","",_xlfn.XLOOKUP(Tabel_Totaal_werkzaamheden222[[#This Row],[OMSCHRIJVING]],Verwijzingsblad!$B$2:$B$186,Verwijzingsblad!$A$2:$A$186,""))</f>
        <v/>
      </c>
      <c r="B83" s="52"/>
      <c r="C83" s="66"/>
      <c r="D83" s="54"/>
      <c r="E83" s="188"/>
      <c r="F83" s="55"/>
    </row>
    <row r="84" spans="1:7" ht="15.95" customHeight="1">
      <c r="A84" s="205" t="s">
        <v>155</v>
      </c>
      <c r="B84" s="206"/>
      <c r="C84" s="207"/>
      <c r="D84" s="208" t="str">
        <f>B3</f>
        <v>Brug Braamsluiperhoek</v>
      </c>
      <c r="E84" s="209" t="str">
        <f>A3</f>
        <v>HOE-18</v>
      </c>
      <c r="F84" s="210">
        <f>SUBTOTAL(109,Tabel_Totaal_werkzaamheden222[TOTAALBEDRAG IN EURO])</f>
        <v>0</v>
      </c>
      <c r="G84" s="75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82</v>
      </c>
      <c r="B3" s="23" t="s">
        <v>83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31" t="s">
        <v>306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14.3</v>
      </c>
      <c r="E5" s="31" t="s">
        <v>247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IF(Tabel_Totaal_werkzaamheden223[[#This Row],[OMSCHRIJVING]]="","",_xlfn.XLOOKUP(Tabel_Totaal_werkzaamheden223[[#This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VLOOKUP(Tabel_Totaal_werkzaamheden223[[#This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VLOOKUP(Tabel_Totaal_werkzaamheden223[[#This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VLOOKUP(Tabel_Totaal_werkzaamheden223[[#This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VLOOKUP(Tabel_Totaal_werkzaamheden223[[#This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VLOOKUP(Tabel_Totaal_werkzaamheden223[[#This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VLOOKUP(Tabel_Totaal_werkzaamheden223[[#This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VLOOKUP(Tabel_Totaal_werkzaamheden223[[#This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VLOOKUP(Tabel_Totaal_werkzaamheden223[[#This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VLOOKUP(Tabel_Totaal_werkzaamheden223[[#This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VLOOKUP(Tabel_Totaal_werkzaamheden223[[#This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VLOOKUP(Tabel_Totaal_werkzaamheden223[[#This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VLOOKUP(Tabel_Totaal_werkzaamheden223[[#This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 t="s">
        <v>339</v>
      </c>
      <c r="C48" s="66" t="s">
        <v>26</v>
      </c>
      <c r="D48" s="54">
        <v>15</v>
      </c>
      <c r="E48" s="188"/>
      <c r="F48" s="55"/>
      <c r="I48" s="21"/>
    </row>
    <row r="49" spans="1:10" ht="15.95" customHeight="1">
      <c r="A49" s="1"/>
      <c r="B49" s="52"/>
      <c r="C49" s="66"/>
      <c r="D49" s="54"/>
      <c r="E49" s="188"/>
      <c r="F49" s="55"/>
    </row>
    <row r="50" spans="1:10" ht="15.95" customHeight="1">
      <c r="A50" s="1" t="str">
        <f>VLOOKUP(Tabel_Totaal_werkzaamheden223[[#This Row],[OMSCHRIJVING]],Blad1!A:C,3,FALSE)</f>
        <v>3.4</v>
      </c>
      <c r="B50" s="70" t="s">
        <v>543</v>
      </c>
      <c r="C50" s="66"/>
      <c r="D50" s="54"/>
      <c r="E50" s="188"/>
      <c r="F50" s="55"/>
    </row>
    <row r="51" spans="1:10" ht="15.95" customHeight="1">
      <c r="A51" s="1"/>
      <c r="B51" s="60" t="s">
        <v>545</v>
      </c>
      <c r="C51" s="66" t="s">
        <v>26</v>
      </c>
      <c r="D51" s="54">
        <v>28</v>
      </c>
      <c r="E51" s="188"/>
      <c r="F51" s="55"/>
    </row>
    <row r="52" spans="1:10" ht="15.95" customHeight="1">
      <c r="A52" s="1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VLOOKUP(Tabel_Totaal_werkzaamheden223[[#This Row],[OMSCHRIJVING]],Blad1!A:C,3,FALSE)</f>
        <v>3.5</v>
      </c>
      <c r="B53" s="70" t="s">
        <v>169</v>
      </c>
      <c r="C53" s="66"/>
      <c r="D53" s="54"/>
      <c r="E53" s="188"/>
      <c r="F53" s="55"/>
    </row>
    <row r="54" spans="1:10" ht="15.95" customHeight="1">
      <c r="A54" s="1"/>
      <c r="B54" s="19" t="s">
        <v>179</v>
      </c>
      <c r="C54" s="66" t="s">
        <v>18</v>
      </c>
      <c r="D54" s="54">
        <v>1</v>
      </c>
      <c r="E54" s="188"/>
      <c r="F54" s="55"/>
    </row>
    <row r="55" spans="1:10" ht="15.95" customHeight="1">
      <c r="A55" s="1"/>
      <c r="B55" s="19" t="s">
        <v>170</v>
      </c>
      <c r="C55" s="66" t="s">
        <v>18</v>
      </c>
      <c r="D55" s="54">
        <v>1</v>
      </c>
      <c r="E55" s="188"/>
      <c r="F55" s="55"/>
    </row>
    <row r="56" spans="1:10" ht="15.95" customHeight="1">
      <c r="A56" s="1"/>
      <c r="B56" s="19" t="s">
        <v>178</v>
      </c>
      <c r="C56" s="66" t="s">
        <v>24</v>
      </c>
      <c r="D56" s="54">
        <v>30</v>
      </c>
      <c r="E56" s="188"/>
      <c r="F56" s="55"/>
      <c r="I56" s="71"/>
      <c r="J56" s="71"/>
    </row>
    <row r="57" spans="1:10" ht="15.95" customHeight="1">
      <c r="A57" s="1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VLOOKUP(Tabel_Totaal_werkzaamheden223[[#This Row],[OMSCHRIJVING]],Blad1!A:C,3,FALSE)</f>
        <v>3.6</v>
      </c>
      <c r="B58" s="15" t="s">
        <v>472</v>
      </c>
      <c r="C58" s="66"/>
      <c r="D58" s="54"/>
      <c r="E58" s="188"/>
      <c r="F58" s="55"/>
    </row>
    <row r="59" spans="1:10" ht="15.95" customHeight="1">
      <c r="A59" s="1"/>
      <c r="B59" s="52" t="s">
        <v>186</v>
      </c>
      <c r="C59" s="66" t="s">
        <v>18</v>
      </c>
      <c r="D59" s="54">
        <v>1</v>
      </c>
      <c r="E59" s="188"/>
      <c r="F59" s="55"/>
      <c r="G59" s="67"/>
    </row>
    <row r="60" spans="1:10" ht="15.95" customHeight="1">
      <c r="A60" s="1"/>
      <c r="B60" s="52" t="s">
        <v>167</v>
      </c>
      <c r="C60" s="66" t="s">
        <v>18</v>
      </c>
      <c r="D60" s="54">
        <v>1</v>
      </c>
      <c r="E60" s="188"/>
      <c r="F60" s="55"/>
    </row>
    <row r="61" spans="1:10" ht="15.95" customHeight="1">
      <c r="A61" s="1"/>
      <c r="B61" s="60" t="s">
        <v>172</v>
      </c>
      <c r="C61" s="66" t="s">
        <v>18</v>
      </c>
      <c r="D61" s="54">
        <v>1</v>
      </c>
      <c r="E61" s="188"/>
      <c r="F61" s="55"/>
    </row>
    <row r="62" spans="1:10" ht="15.95" customHeight="1">
      <c r="A62" s="1"/>
      <c r="B62" s="52" t="s">
        <v>23</v>
      </c>
      <c r="C62" s="66" t="s">
        <v>18</v>
      </c>
      <c r="D62" s="54">
        <v>1</v>
      </c>
      <c r="E62" s="188"/>
      <c r="F62" s="55"/>
    </row>
    <row r="63" spans="1:10" ht="15.95" customHeight="1">
      <c r="A63" s="1"/>
      <c r="B63" s="52" t="s">
        <v>25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52" t="s">
        <v>185</v>
      </c>
      <c r="C64" s="66" t="s">
        <v>18</v>
      </c>
      <c r="D64" s="54">
        <v>1</v>
      </c>
      <c r="E64" s="188"/>
      <c r="F64" s="55"/>
      <c r="H64" s="21"/>
    </row>
    <row r="65" spans="1:7" ht="15.95" customHeight="1">
      <c r="A65" s="1"/>
      <c r="B65" s="52" t="s">
        <v>542</v>
      </c>
      <c r="C65" s="66" t="s">
        <v>26</v>
      </c>
      <c r="D65" s="54">
        <v>28</v>
      </c>
      <c r="E65" s="188"/>
      <c r="F65" s="55"/>
    </row>
    <row r="66" spans="1:7" ht="15.95" customHeight="1">
      <c r="A66" s="1"/>
      <c r="B66" s="52" t="s">
        <v>27</v>
      </c>
      <c r="C66" s="66" t="s">
        <v>24</v>
      </c>
      <c r="D66" s="54">
        <v>30</v>
      </c>
      <c r="E66" s="188"/>
      <c r="F66" s="55"/>
    </row>
    <row r="67" spans="1:7" ht="15.95" customHeight="1">
      <c r="A67" s="1"/>
      <c r="B67" s="52" t="s">
        <v>181</v>
      </c>
      <c r="C67" s="66" t="s">
        <v>24</v>
      </c>
      <c r="D67" s="54">
        <v>12</v>
      </c>
      <c r="E67" s="188"/>
      <c r="F67" s="55"/>
    </row>
    <row r="68" spans="1:7" ht="15.95" customHeight="1">
      <c r="A68" s="1"/>
      <c r="B68" s="52" t="s">
        <v>171</v>
      </c>
      <c r="C68" s="66" t="s">
        <v>18</v>
      </c>
      <c r="D68" s="54">
        <v>1</v>
      </c>
      <c r="E68" s="188"/>
      <c r="F68" s="55"/>
    </row>
    <row r="69" spans="1:7" ht="15.95" customHeight="1">
      <c r="A69" s="1"/>
      <c r="B69" s="52"/>
      <c r="C69" s="66"/>
      <c r="D69" s="54"/>
      <c r="E69" s="188"/>
      <c r="F69" s="55"/>
    </row>
    <row r="70" spans="1:7" ht="15.95" customHeight="1">
      <c r="A70" s="1" t="str">
        <f>VLOOKUP(Tabel_Totaal_werkzaamheden223[[#This Row],[OMSCHRIJVING]],Blad1!A:C,3,FALSE)</f>
        <v>3.7</v>
      </c>
      <c r="B70" s="70" t="s">
        <v>174</v>
      </c>
      <c r="C70" s="66"/>
      <c r="D70" s="54"/>
      <c r="E70" s="188"/>
      <c r="F70" s="55"/>
    </row>
    <row r="71" spans="1:7" s="164" customFormat="1" ht="25.5">
      <c r="A71" s="1"/>
      <c r="B71" s="164" t="s">
        <v>344</v>
      </c>
      <c r="C71" s="162" t="s">
        <v>26</v>
      </c>
      <c r="D71" s="156">
        <v>15</v>
      </c>
      <c r="E71" s="193"/>
      <c r="F71" s="157"/>
      <c r="G71" s="163"/>
    </row>
    <row r="72" spans="1:7" ht="15.95" customHeight="1">
      <c r="A72" s="1"/>
      <c r="B72" s="52"/>
      <c r="C72" s="66"/>
      <c r="D72" s="54"/>
      <c r="E72" s="188"/>
      <c r="F72" s="55"/>
    </row>
    <row r="73" spans="1:7" ht="15.95" customHeight="1">
      <c r="A73" s="1" t="str">
        <f>VLOOKUP(Tabel_Totaal_werkzaamheden223[[#This Row],[OMSCHRIJVING]],Blad1!A:C,3,FALSE)</f>
        <v>3.8</v>
      </c>
      <c r="B73" s="72" t="s">
        <v>231</v>
      </c>
      <c r="C73" s="73"/>
      <c r="D73" s="54"/>
      <c r="E73" s="188"/>
      <c r="F73" s="55"/>
    </row>
    <row r="74" spans="1:7" ht="15.95" customHeight="1">
      <c r="A74" s="1"/>
      <c r="B74" s="74" t="s">
        <v>28</v>
      </c>
      <c r="C74" s="73" t="s">
        <v>18</v>
      </c>
      <c r="D74" s="54">
        <v>1</v>
      </c>
      <c r="E74" s="188"/>
      <c r="F74" s="55"/>
    </row>
    <row r="75" spans="1:7" ht="15.95" customHeight="1">
      <c r="A75" s="1"/>
      <c r="B75" s="52"/>
      <c r="C75" s="66"/>
      <c r="D75" s="54"/>
      <c r="E75" s="188"/>
      <c r="F75" s="55"/>
    </row>
    <row r="76" spans="1:7" ht="15.95" customHeight="1">
      <c r="A76" s="1" t="str">
        <f>VLOOKUP(Tabel_Totaal_werkzaamheden223[[#This Row],[OMSCHRIJVING]],Blad1!A:C,3,FALSE)</f>
        <v>3.10</v>
      </c>
      <c r="B76" s="15" t="s">
        <v>499</v>
      </c>
      <c r="C76" s="66"/>
      <c r="D76" s="54"/>
      <c r="E76" s="188"/>
      <c r="F76" s="55"/>
    </row>
    <row r="77" spans="1:7" ht="15.95" customHeight="1">
      <c r="A77" s="1"/>
      <c r="B77" s="52" t="s">
        <v>230</v>
      </c>
      <c r="C77" s="66" t="s">
        <v>18</v>
      </c>
      <c r="D77" s="54">
        <v>1</v>
      </c>
      <c r="E77" s="188"/>
      <c r="F77" s="55"/>
    </row>
    <row r="78" spans="1:7" ht="15.95" customHeight="1">
      <c r="A78" s="1" t="str">
        <f>IF(Tabel_Totaal_werkzaamheden223[[#This Row],[OMSCHRIJVING]]="","",_xlfn.XLOOKUP(Tabel_Totaal_werkzaamheden223[[#This Row],[OMSCHRIJVING]],Verwijzingsblad!$B$2:$B$186,Verwijzingsblad!$A$2:$A$186,""))</f>
        <v/>
      </c>
      <c r="B78" s="52"/>
      <c r="C78" s="66"/>
      <c r="D78" s="54"/>
      <c r="E78" s="188"/>
      <c r="F78" s="55"/>
    </row>
    <row r="79" spans="1:7" ht="15.95" customHeight="1">
      <c r="A79" s="205" t="s">
        <v>155</v>
      </c>
      <c r="B79" s="206"/>
      <c r="C79" s="207"/>
      <c r="D79" s="208" t="str">
        <f>B3</f>
        <v>Brug Meeldijk</v>
      </c>
      <c r="E79" s="209" t="str">
        <f>A3</f>
        <v>HV02</v>
      </c>
      <c r="F79" s="210">
        <f>SUBTOTAL(109,Tabel_Totaal_werkzaamheden223[TOTAALBEDRAG IN EURO])</f>
        <v>0</v>
      </c>
      <c r="G79" s="75"/>
    </row>
    <row r="80" spans="1:7" ht="15.95" customHeight="1">
      <c r="A80" s="15"/>
      <c r="B80" s="52"/>
      <c r="C80" s="52"/>
      <c r="D80" s="76"/>
      <c r="E80" s="191"/>
      <c r="F80" s="77"/>
    </row>
    <row r="81" spans="1:6" ht="15.95" customHeight="1">
      <c r="A81" s="15"/>
      <c r="B81" s="52"/>
      <c r="C81" s="52"/>
      <c r="D81" s="76"/>
      <c r="E81" s="191"/>
      <c r="F81" s="77"/>
    </row>
    <row r="82" spans="1:6" ht="15.95" customHeight="1">
      <c r="A82" s="15"/>
      <c r="B82" s="52"/>
      <c r="C82" s="52"/>
      <c r="D82" s="76"/>
      <c r="E82" s="191"/>
      <c r="F82" s="77"/>
    </row>
    <row r="83" spans="1:6" ht="15.95" customHeight="1">
      <c r="A83" s="15"/>
      <c r="B83" s="52"/>
      <c r="C83" s="52"/>
      <c r="D83" s="76"/>
      <c r="E83" s="191"/>
      <c r="F83" s="77"/>
    </row>
    <row r="84" spans="1:6" ht="15.95" customHeight="1">
      <c r="A84" s="15"/>
      <c r="B84" s="52"/>
      <c r="C84" s="52"/>
      <c r="D84" s="76"/>
      <c r="E84" s="191"/>
      <c r="F84" s="77"/>
    </row>
    <row r="85" spans="1:6" ht="15.95" customHeight="1">
      <c r="A85" s="15"/>
      <c r="B85" s="52"/>
      <c r="C85" s="52"/>
      <c r="D85" s="76"/>
      <c r="E85" s="191"/>
      <c r="F85" s="77"/>
    </row>
    <row r="86" spans="1:6" ht="15.95" customHeight="1">
      <c r="A86" s="15"/>
      <c r="B86" s="52"/>
      <c r="C86" s="52"/>
      <c r="D86" s="76"/>
      <c r="E86" s="191"/>
      <c r="F86" s="77"/>
    </row>
    <row r="87" spans="1:6" ht="15.95" customHeight="1">
      <c r="A87" s="15"/>
      <c r="B87" s="52"/>
      <c r="C87" s="52"/>
      <c r="D87" s="76"/>
      <c r="E87" s="191"/>
      <c r="F87" s="77"/>
    </row>
    <row r="88" spans="1:6" ht="15.95" customHeight="1">
      <c r="A88" s="15"/>
      <c r="B88" s="52"/>
      <c r="C88" s="52"/>
      <c r="D88" s="76"/>
      <c r="E88" s="191"/>
      <c r="F88" s="77"/>
    </row>
    <row r="89" spans="1:6" ht="15.95" customHeight="1">
      <c r="E89" s="192"/>
    </row>
    <row r="90" spans="1:6" ht="15.95" customHeight="1">
      <c r="E90" s="192"/>
    </row>
    <row r="91" spans="1:6" ht="15.95" customHeight="1">
      <c r="E91" s="192"/>
    </row>
    <row r="92" spans="1:6" ht="15.95" customHeight="1">
      <c r="E92" s="192"/>
    </row>
    <row r="93" spans="1:6" ht="15.95" customHeight="1">
      <c r="E93" s="192"/>
    </row>
    <row r="94" spans="1:6" ht="15.95" customHeight="1">
      <c r="E94" s="192"/>
    </row>
    <row r="95" spans="1:6" ht="15.95" customHeight="1">
      <c r="E95" s="192"/>
    </row>
    <row r="96" spans="1:6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354</v>
      </c>
      <c r="B3" s="23" t="s">
        <v>355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179">
        <v>1.95</v>
      </c>
      <c r="E4" s="31"/>
      <c r="F4" s="32"/>
    </row>
    <row r="5" spans="1:10" ht="15.75" customHeight="1">
      <c r="A5" s="27"/>
      <c r="B5" s="28" t="s">
        <v>315</v>
      </c>
      <c r="C5" s="29" t="s">
        <v>225</v>
      </c>
      <c r="D5" s="179">
        <v>11.15</v>
      </c>
      <c r="E5" s="31"/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IF(Tabel_Totaal_werkzaamheden2232[[#This Row],[OMSCHRIJVING]]="","",_xlfn.XLOOKUP(Tabel_Totaal_werkzaamheden2232[[#This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VLOOKUP(Tabel_Totaal_werkzaamheden2232[[#This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VLOOKUP(Tabel_Totaal_werkzaamheden2232[[#This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VLOOKUP(Tabel_Totaal_werkzaamheden2232[[#This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VLOOKUP(Tabel_Totaal_werkzaamheden2232[[#This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VLOOKUP(Tabel_Totaal_werkzaamheden2232[[#This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VLOOKUP(Tabel_Totaal_werkzaamheden2232[[#This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VLOOKUP(Tabel_Totaal_werkzaamheden2232[[#This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VLOOKUP(Tabel_Totaal_werkzaamheden2232[[#This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VLOOKUP(Tabel_Totaal_werkzaamheden2232[[#This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VLOOKUP(Tabel_Totaal_werkzaamheden2232[[#This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VLOOKUP(Tabel_Totaal_werkzaamheden2232[[#This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VLOOKUP(Tabel_Totaal_werkzaamheden2232[[#This Row],[OMSCHRIJVING]],Blad1!A:C,3,FALSE)</f>
        <v>3.4</v>
      </c>
      <c r="B46" s="70" t="s">
        <v>543</v>
      </c>
      <c r="C46" s="66"/>
      <c r="D46" s="54"/>
      <c r="E46" s="188"/>
      <c r="F46" s="55"/>
    </row>
    <row r="47" spans="1:10" ht="15.95" customHeight="1">
      <c r="A47" s="1"/>
      <c r="B47" s="60" t="s">
        <v>545</v>
      </c>
      <c r="C47" s="66" t="s">
        <v>26</v>
      </c>
      <c r="D47" s="54">
        <v>22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VLOOKUP(Tabel_Totaal_werkzaamheden2232[[#This Row],[OMSCHRIJVING]],Blad1!A:C,3,FALSE)</f>
        <v>3.5</v>
      </c>
      <c r="B49" s="70" t="s">
        <v>169</v>
      </c>
      <c r="C49" s="66"/>
      <c r="D49" s="54"/>
      <c r="E49" s="188"/>
      <c r="F49" s="55"/>
    </row>
    <row r="50" spans="1:10" ht="15.95" customHeight="1">
      <c r="A50" s="1"/>
      <c r="B50" s="19" t="s">
        <v>179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19" t="s">
        <v>170</v>
      </c>
      <c r="C51" s="66" t="s">
        <v>18</v>
      </c>
      <c r="D51" s="54">
        <v>1</v>
      </c>
      <c r="E51" s="188"/>
      <c r="F51" s="55"/>
    </row>
    <row r="52" spans="1:10" ht="15.95" customHeight="1">
      <c r="A52" s="1"/>
      <c r="B52" s="19" t="s">
        <v>178</v>
      </c>
      <c r="C52" s="66" t="s">
        <v>24</v>
      </c>
      <c r="D52" s="54">
        <v>23</v>
      </c>
      <c r="E52" s="188"/>
      <c r="F52" s="55"/>
      <c r="I52" s="71"/>
      <c r="J52" s="71"/>
    </row>
    <row r="53" spans="1:10" ht="15.95" customHeight="1">
      <c r="A53" s="1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VLOOKUP(Tabel_Totaal_werkzaamheden2232[[#This Row],[OMSCHRIJVING]],Blad1!A:C,3,FALSE)</f>
        <v>3.6</v>
      </c>
      <c r="B54" s="15" t="s">
        <v>472</v>
      </c>
      <c r="C54" s="66"/>
      <c r="D54" s="54"/>
      <c r="E54" s="188"/>
      <c r="F54" s="55"/>
    </row>
    <row r="55" spans="1:10" ht="15.95" customHeight="1">
      <c r="A55" s="1"/>
      <c r="B55" s="52" t="s">
        <v>186</v>
      </c>
      <c r="C55" s="66" t="s">
        <v>18</v>
      </c>
      <c r="D55" s="54">
        <v>1</v>
      </c>
      <c r="E55" s="188"/>
      <c r="F55" s="55"/>
      <c r="G55" s="67"/>
    </row>
    <row r="56" spans="1:10" ht="15.95" customHeight="1">
      <c r="A56" s="1"/>
      <c r="B56" s="52" t="s">
        <v>167</v>
      </c>
      <c r="C56" s="66" t="s">
        <v>18</v>
      </c>
      <c r="D56" s="54">
        <v>1</v>
      </c>
      <c r="E56" s="188"/>
      <c r="F56" s="55"/>
    </row>
    <row r="57" spans="1:10" ht="15.95" customHeight="1">
      <c r="A57" s="1"/>
      <c r="B57" s="60" t="s">
        <v>172</v>
      </c>
      <c r="C57" s="66" t="s">
        <v>18</v>
      </c>
      <c r="D57" s="54">
        <v>1</v>
      </c>
      <c r="E57" s="188"/>
      <c r="F57" s="55"/>
    </row>
    <row r="58" spans="1:10" ht="15.95" customHeight="1">
      <c r="A58" s="1"/>
      <c r="B58" s="52" t="s">
        <v>23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52" t="s">
        <v>25</v>
      </c>
      <c r="C59" s="66" t="s">
        <v>18</v>
      </c>
      <c r="D59" s="54">
        <v>1</v>
      </c>
      <c r="E59" s="188"/>
      <c r="F59" s="55"/>
    </row>
    <row r="60" spans="1:10" ht="15.95" customHeight="1">
      <c r="A60" s="1"/>
      <c r="B60" s="52" t="s">
        <v>185</v>
      </c>
      <c r="C60" s="66" t="s">
        <v>18</v>
      </c>
      <c r="D60" s="54">
        <v>1</v>
      </c>
      <c r="E60" s="188"/>
      <c r="F60" s="55"/>
      <c r="H60" s="21"/>
    </row>
    <row r="61" spans="1:10" ht="15.95" customHeight="1">
      <c r="A61" s="1"/>
      <c r="B61" s="52" t="s">
        <v>542</v>
      </c>
      <c r="C61" s="66" t="s">
        <v>26</v>
      </c>
      <c r="D61" s="54">
        <v>22</v>
      </c>
      <c r="E61" s="188"/>
      <c r="F61" s="55"/>
    </row>
    <row r="62" spans="1:10" ht="15.95" customHeight="1">
      <c r="A62" s="1"/>
      <c r="B62" s="52" t="s">
        <v>27</v>
      </c>
      <c r="C62" s="66" t="s">
        <v>24</v>
      </c>
      <c r="D62" s="54">
        <v>23</v>
      </c>
      <c r="E62" s="188"/>
      <c r="F62" s="55"/>
    </row>
    <row r="63" spans="1:10" ht="15.95" customHeight="1">
      <c r="A63" s="1"/>
      <c r="B63" s="52" t="s">
        <v>181</v>
      </c>
      <c r="C63" s="66" t="s">
        <v>24</v>
      </c>
      <c r="D63" s="54">
        <v>8</v>
      </c>
      <c r="E63" s="188"/>
      <c r="F63" s="55"/>
    </row>
    <row r="64" spans="1:10" ht="15.95" customHeight="1">
      <c r="A64" s="1"/>
      <c r="B64" s="52" t="s">
        <v>171</v>
      </c>
      <c r="C64" s="66" t="s">
        <v>18</v>
      </c>
      <c r="D64" s="54">
        <v>1</v>
      </c>
      <c r="E64" s="188"/>
      <c r="F64" s="55"/>
    </row>
    <row r="65" spans="1:7" ht="15.95" customHeight="1">
      <c r="A65" s="1"/>
      <c r="B65" s="52"/>
      <c r="C65" s="66"/>
      <c r="D65" s="54"/>
      <c r="E65" s="188"/>
      <c r="F65" s="55"/>
    </row>
    <row r="66" spans="1:7" ht="15.95" customHeight="1">
      <c r="A66" s="1" t="str">
        <f>VLOOKUP(Tabel_Totaal_werkzaamheden2232[[#This Row],[OMSCHRIJVING]],Blad1!A:C,3,FALSE)</f>
        <v>3.8</v>
      </c>
      <c r="B66" s="72" t="s">
        <v>231</v>
      </c>
      <c r="C66" s="73"/>
      <c r="D66" s="54"/>
      <c r="E66" s="188"/>
      <c r="F66" s="55"/>
    </row>
    <row r="67" spans="1:7" ht="15.95" customHeight="1">
      <c r="A67" s="1"/>
      <c r="B67" s="74" t="s">
        <v>28</v>
      </c>
      <c r="C67" s="73" t="s">
        <v>18</v>
      </c>
      <c r="D67" s="54">
        <v>1</v>
      </c>
      <c r="E67" s="188"/>
      <c r="F67" s="55"/>
    </row>
    <row r="68" spans="1:7" ht="15.95" customHeight="1">
      <c r="A68" s="1"/>
      <c r="B68" s="52"/>
      <c r="C68" s="66"/>
      <c r="D68" s="54"/>
      <c r="E68" s="188"/>
      <c r="F68" s="55"/>
    </row>
    <row r="69" spans="1:7" ht="15.95" customHeight="1">
      <c r="A69" s="1" t="str">
        <f>VLOOKUP(Tabel_Totaal_werkzaamheden2232[[#This Row],[OMSCHRIJVING]],Blad1!A:C,3,FALSE)</f>
        <v>3.10</v>
      </c>
      <c r="B69" s="15" t="s">
        <v>499</v>
      </c>
      <c r="C69" s="66"/>
      <c r="D69" s="54"/>
      <c r="E69" s="188"/>
      <c r="F69" s="55"/>
    </row>
    <row r="70" spans="1:7" ht="15.95" customHeight="1">
      <c r="A70" s="1"/>
      <c r="B70" s="52" t="s">
        <v>230</v>
      </c>
      <c r="C70" s="66" t="s">
        <v>18</v>
      </c>
      <c r="D70" s="54">
        <v>1</v>
      </c>
      <c r="E70" s="188"/>
      <c r="F70" s="55"/>
    </row>
    <row r="71" spans="1:7" ht="15.95" customHeight="1">
      <c r="A71" s="1" t="str">
        <f>IF(Tabel_Totaal_werkzaamheden2232[[#This Row],[OMSCHRIJVING]]="","",_xlfn.XLOOKUP(Tabel_Totaal_werkzaamheden2232[[#This Row],[OMSCHRIJVING]],Verwijzingsblad!$B$2:$B$186,Verwijzingsblad!$A$2:$A$186,""))</f>
        <v/>
      </c>
      <c r="B71" s="52"/>
      <c r="C71" s="66"/>
      <c r="D71" s="54"/>
      <c r="E71" s="188"/>
      <c r="F71" s="55"/>
    </row>
    <row r="72" spans="1:7" ht="15.95" customHeight="1">
      <c r="A72" s="205" t="s">
        <v>155</v>
      </c>
      <c r="B72" s="206"/>
      <c r="C72" s="207"/>
      <c r="D72" s="208" t="str">
        <f>B3</f>
        <v>Brug Heenvliet</v>
      </c>
      <c r="E72" s="209" t="str">
        <f>A3</f>
        <v>HV03</v>
      </c>
      <c r="F72" s="210">
        <f>SUBTOTAL(109,Tabel_Totaal_werkzaamheden2232[TOTAALBEDRAG IN EURO])</f>
        <v>0</v>
      </c>
      <c r="G72" s="75"/>
    </row>
    <row r="73" spans="1:7" ht="15.95" customHeight="1">
      <c r="A73" s="15"/>
      <c r="B73" s="52"/>
      <c r="C73" s="52"/>
      <c r="D73" s="76"/>
      <c r="E73" s="191"/>
      <c r="F73" s="77"/>
    </row>
    <row r="74" spans="1:7" ht="15.95" customHeight="1">
      <c r="A74" s="15"/>
      <c r="B74" s="52"/>
      <c r="C74" s="52"/>
      <c r="D74" s="76"/>
      <c r="E74" s="191"/>
      <c r="F74" s="77"/>
    </row>
    <row r="75" spans="1:7" ht="15.95" customHeight="1">
      <c r="A75" s="15"/>
      <c r="B75" s="52"/>
      <c r="C75" s="52"/>
      <c r="D75" s="76"/>
      <c r="E75" s="191"/>
      <c r="F75" s="77"/>
    </row>
    <row r="76" spans="1:7" ht="15.95" customHeight="1">
      <c r="A76" s="15"/>
      <c r="B76" s="52"/>
      <c r="C76" s="52"/>
      <c r="D76" s="76"/>
      <c r="E76" s="191"/>
      <c r="F76" s="77"/>
    </row>
    <row r="77" spans="1:7" ht="15.95" customHeight="1">
      <c r="A77" s="15"/>
      <c r="B77" s="52"/>
      <c r="C77" s="52"/>
      <c r="D77" s="76"/>
      <c r="E77" s="191"/>
      <c r="F77" s="77"/>
    </row>
    <row r="78" spans="1:7" ht="15.95" customHeight="1">
      <c r="A78" s="15"/>
      <c r="B78" s="52"/>
      <c r="C78" s="52"/>
      <c r="D78" s="76"/>
      <c r="E78" s="191"/>
      <c r="F78" s="77"/>
    </row>
    <row r="79" spans="1:7" ht="15.95" customHeight="1">
      <c r="A79" s="15"/>
      <c r="B79" s="52"/>
      <c r="C79" s="52"/>
      <c r="D79" s="76"/>
      <c r="E79" s="191"/>
      <c r="F79" s="77"/>
    </row>
    <row r="80" spans="1:7" ht="15.95" customHeight="1">
      <c r="A80" s="15"/>
      <c r="B80" s="52"/>
      <c r="C80" s="52"/>
      <c r="D80" s="76"/>
      <c r="E80" s="191"/>
      <c r="F80" s="77"/>
    </row>
    <row r="81" spans="1:6" ht="15.95" customHeight="1">
      <c r="A81" s="15"/>
      <c r="B81" s="52"/>
      <c r="C81" s="52"/>
      <c r="D81" s="76"/>
      <c r="E81" s="191"/>
      <c r="F81" s="77"/>
    </row>
    <row r="82" spans="1:6" ht="15.95" customHeight="1">
      <c r="E82" s="192"/>
    </row>
    <row r="83" spans="1:6" ht="15.95" customHeight="1">
      <c r="E83" s="192"/>
    </row>
    <row r="84" spans="1:6" ht="15.95" customHeight="1">
      <c r="E84" s="192"/>
    </row>
    <row r="85" spans="1:6" ht="15.95" customHeight="1">
      <c r="E85" s="192"/>
    </row>
    <row r="86" spans="1:6" ht="15.95" customHeight="1">
      <c r="E86" s="192"/>
    </row>
    <row r="87" spans="1:6" ht="15.95" customHeight="1">
      <c r="E87" s="192"/>
    </row>
    <row r="88" spans="1:6" ht="15.95" customHeight="1">
      <c r="E88" s="192"/>
    </row>
    <row r="89" spans="1:6" ht="15.95" customHeight="1">
      <c r="E89" s="192"/>
    </row>
    <row r="90" spans="1:6" ht="15.95" customHeight="1">
      <c r="E90" s="192"/>
    </row>
    <row r="91" spans="1:6" ht="15.95" customHeight="1">
      <c r="E91" s="192"/>
    </row>
    <row r="92" spans="1:6" ht="15.95" customHeight="1">
      <c r="E92" s="192"/>
    </row>
    <row r="93" spans="1:6" ht="15.95" customHeight="1">
      <c r="E93" s="192"/>
    </row>
    <row r="94" spans="1:6" ht="15.95" customHeight="1">
      <c r="E94" s="192"/>
    </row>
    <row r="95" spans="1:6" ht="15.95" customHeight="1">
      <c r="E95" s="192"/>
    </row>
    <row r="96" spans="1:6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2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84</v>
      </c>
      <c r="B3" s="23" t="s">
        <v>85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31" t="s">
        <v>266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16.5</v>
      </c>
      <c r="E5" s="31" t="s">
        <v>307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IF(Tabel_Totaal_werkzaamheden224[[#This Row],[OMSCHRIJVING]]="","",_xlfn.XLOOKUP(Tabel_Totaal_werkzaamheden224[[#This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VLOOKUP(Tabel_Totaal_werkzaamheden224[[#This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VLOOKUP(Tabel_Totaal_werkzaamheden224[[#This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VLOOKUP(Tabel_Totaal_werkzaamheden224[[#This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VLOOKUP(Tabel_Totaal_werkzaamheden224[[#This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VLOOKUP(Tabel_Totaal_werkzaamheden224[[#This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VLOOKUP(Tabel_Totaal_werkzaamheden224[[#This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VLOOKUP(Tabel_Totaal_werkzaamheden224[[#This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VLOOKUP(Tabel_Totaal_werkzaamheden224[[#This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VLOOKUP(Tabel_Totaal_werkzaamheden224[[#This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VLOOKUP(Tabel_Totaal_werkzaamheden224[[#This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VLOOKUP(Tabel_Totaal_werkzaamheden224[[#This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VLOOKUP(Tabel_Totaal_werkzaamheden224[[#This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VLOOKUP(Tabel_Totaal_werkzaamheden224[[#This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s="164" customFormat="1" ht="12.75">
      <c r="A51" s="1"/>
      <c r="B51" s="161" t="s">
        <v>345</v>
      </c>
      <c r="C51" s="162" t="s">
        <v>26</v>
      </c>
      <c r="D51" s="156">
        <v>25</v>
      </c>
      <c r="E51" s="193"/>
      <c r="F51" s="157"/>
      <c r="G51" s="163"/>
      <c r="I51" s="163"/>
    </row>
    <row r="52" spans="1:10" ht="15.95" customHeight="1">
      <c r="A52" s="1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VLOOKUP(Tabel_Totaal_werkzaamheden224[[#This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"/>
      <c r="B54" s="60" t="s">
        <v>545</v>
      </c>
      <c r="C54" s="66" t="s">
        <v>26</v>
      </c>
      <c r="D54" s="54">
        <v>50</v>
      </c>
      <c r="E54" s="188"/>
      <c r="F54" s="55"/>
    </row>
    <row r="55" spans="1:10" ht="15.95" customHeight="1">
      <c r="A55" s="1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VLOOKUP(Tabel_Totaal_werkzaamheden224[[#This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19" t="s">
        <v>178</v>
      </c>
      <c r="C59" s="66" t="s">
        <v>24</v>
      </c>
      <c r="D59" s="54">
        <v>33</v>
      </c>
      <c r="E59" s="188"/>
      <c r="F59" s="55"/>
      <c r="I59" s="71"/>
      <c r="J59" s="71"/>
    </row>
    <row r="60" spans="1:10" ht="15.95" customHeight="1">
      <c r="A60" s="1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VLOOKUP(Tabel_Totaal_werkzaamheden224[[#This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"/>
      <c r="B68" s="52" t="s">
        <v>547</v>
      </c>
      <c r="C68" s="66" t="s">
        <v>26</v>
      </c>
      <c r="D68" s="54">
        <v>50</v>
      </c>
      <c r="E68" s="188"/>
      <c r="F68" s="55"/>
    </row>
    <row r="69" spans="1:8" ht="15.95" customHeight="1">
      <c r="A69" s="1"/>
      <c r="B69" s="52" t="s">
        <v>27</v>
      </c>
      <c r="C69" s="66" t="s">
        <v>24</v>
      </c>
      <c r="D69" s="54">
        <v>33</v>
      </c>
      <c r="E69" s="188"/>
      <c r="F69" s="55"/>
    </row>
    <row r="70" spans="1:8" ht="15.95" customHeight="1">
      <c r="A70" s="1"/>
      <c r="B70" s="52" t="s">
        <v>181</v>
      </c>
      <c r="C70" s="66" t="s">
        <v>24</v>
      </c>
      <c r="D70" s="54">
        <v>10</v>
      </c>
      <c r="E70" s="188"/>
      <c r="F70" s="55"/>
    </row>
    <row r="71" spans="1:8" ht="15.95" customHeight="1">
      <c r="A71" s="1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VLOOKUP(Tabel_Totaal_werkzaamheden224[[#This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"/>
      <c r="B74" s="164" t="s">
        <v>175</v>
      </c>
      <c r="C74" s="162" t="s">
        <v>26</v>
      </c>
      <c r="D74" s="156">
        <v>25</v>
      </c>
      <c r="E74" s="193"/>
      <c r="F74" s="157"/>
      <c r="G74" s="163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VLOOKUP(Tabel_Totaal_werkzaamheden224[[#This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VLOOKUP(Tabel_Totaal_werkzaamheden224[[#This Row],[OMSCHRIJVING]],Blad1!A:C,3,FALSE)</f>
        <v>3.9</v>
      </c>
      <c r="B79" s="72" t="s">
        <v>184</v>
      </c>
      <c r="C79" s="73"/>
      <c r="D79" s="54"/>
      <c r="E79" s="188"/>
      <c r="F79" s="55"/>
    </row>
    <row r="80" spans="1:8" s="97" customFormat="1" ht="15.95" customHeight="1">
      <c r="A80" s="217" t="s">
        <v>534</v>
      </c>
      <c r="B80" s="74" t="s">
        <v>324</v>
      </c>
      <c r="C80" s="73" t="s">
        <v>18</v>
      </c>
      <c r="D80" s="54">
        <v>1</v>
      </c>
      <c r="E80" s="188"/>
      <c r="F80" s="55"/>
      <c r="G80" s="96"/>
    </row>
    <row r="81" spans="1:7" s="97" customFormat="1" ht="15.95" customHeight="1">
      <c r="A81" s="217" t="s">
        <v>493</v>
      </c>
      <c r="B81" s="74" t="s">
        <v>314</v>
      </c>
      <c r="C81" s="165" t="s">
        <v>214</v>
      </c>
      <c r="D81" s="54">
        <v>1</v>
      </c>
      <c r="E81" s="188"/>
      <c r="F81" s="55"/>
      <c r="G81" s="96"/>
    </row>
    <row r="82" spans="1:7" s="97" customFormat="1" ht="15.95" customHeight="1">
      <c r="A82" s="217" t="s">
        <v>533</v>
      </c>
      <c r="B82" s="74" t="s">
        <v>213</v>
      </c>
      <c r="C82" s="165" t="s">
        <v>24</v>
      </c>
      <c r="D82" s="54">
        <v>11</v>
      </c>
      <c r="E82" s="188"/>
      <c r="F82" s="55"/>
      <c r="G82" s="96"/>
    </row>
    <row r="83" spans="1:7" ht="15.95" customHeight="1">
      <c r="A83" s="1"/>
      <c r="B83" s="52"/>
      <c r="C83" s="66"/>
      <c r="D83" s="54"/>
      <c r="E83" s="188"/>
      <c r="F83" s="55"/>
    </row>
    <row r="84" spans="1:7" ht="15.95" customHeight="1">
      <c r="A84" s="1" t="str">
        <f>VLOOKUP(Tabel_Totaal_werkzaamheden224[[#This Row],[OMSCHRIJVING]],Blad1!A:C,3,FALSE)</f>
        <v>3.10</v>
      </c>
      <c r="B84" s="15" t="s">
        <v>499</v>
      </c>
      <c r="C84" s="66"/>
      <c r="D84" s="54"/>
      <c r="E84" s="188"/>
      <c r="F84" s="55"/>
    </row>
    <row r="85" spans="1:7" ht="15.95" customHeight="1">
      <c r="A85" s="1"/>
      <c r="B85" s="52" t="s">
        <v>230</v>
      </c>
      <c r="C85" s="66" t="s">
        <v>18</v>
      </c>
      <c r="D85" s="54">
        <v>1</v>
      </c>
      <c r="E85" s="188"/>
      <c r="F85" s="55"/>
    </row>
    <row r="86" spans="1:7" ht="15.95" customHeight="1">
      <c r="A86" s="1" t="str">
        <f>IF(Tabel_Totaal_werkzaamheden224[[#This Row],[OMSCHRIJVING]]="","",_xlfn.XLOOKUP(Tabel_Totaal_werkzaamheden224[[#This Row],[OMSCHRIJVING]],Verwijzingsblad!$B$2:$B$186,Verwijzingsblad!$A$2:$A$186,""))</f>
        <v/>
      </c>
      <c r="B86" s="52"/>
      <c r="C86" s="66"/>
      <c r="D86" s="54"/>
      <c r="E86" s="188"/>
      <c r="F86" s="55"/>
    </row>
    <row r="87" spans="1:7" ht="15.95" customHeight="1">
      <c r="A87" s="211" t="s">
        <v>155</v>
      </c>
      <c r="B87" s="212"/>
      <c r="C87" s="213"/>
      <c r="D87" s="214" t="str">
        <f>B3</f>
        <v>Brug Emmy Belinfantestraat</v>
      </c>
      <c r="E87" s="215" t="str">
        <f>A3</f>
        <v>MWO-04</v>
      </c>
      <c r="F87" s="216">
        <f>SUBTOTAL(109,Tabel_Totaal_werkzaamheden224[TOTAALBEDRAG IN EURO])</f>
        <v>0</v>
      </c>
      <c r="G87" s="75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3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86</v>
      </c>
      <c r="B3" s="23" t="s">
        <v>87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31" t="s">
        <v>266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16.350000000000001</v>
      </c>
      <c r="E5" s="31" t="s">
        <v>307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IF(Tabel_Totaal_werkzaamheden225[[#This Row],[OMSCHRIJVING]]="","",_xlfn.XLOOKUP(Tabel_Totaal_werkzaamheden225[[#This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VLOOKUP(Tabel_Totaal_werkzaamheden225[[#This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VLOOKUP(Tabel_Totaal_werkzaamheden225[[#This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VLOOKUP(Tabel_Totaal_werkzaamheden225[[#This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VLOOKUP(Tabel_Totaal_werkzaamheden225[[#This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VLOOKUP(Tabel_Totaal_werkzaamheden225[[#This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VLOOKUP(Tabel_Totaal_werkzaamheden225[[#This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VLOOKUP(Tabel_Totaal_werkzaamheden225[[#This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ht="15.95" customHeight="1">
      <c r="A31" s="1"/>
      <c r="B31" s="60"/>
      <c r="C31" s="66"/>
      <c r="D31" s="54"/>
      <c r="E31" s="188"/>
      <c r="F31" s="55"/>
    </row>
    <row r="32" spans="1:10" ht="15.95" customHeight="1">
      <c r="A32" s="1" t="str">
        <f>VLOOKUP(Tabel_Totaal_werkzaamheden225[[#This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VLOOKUP(Tabel_Totaal_werkzaamheden225[[#This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VLOOKUP(Tabel_Totaal_werkzaamheden225[[#This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VLOOKUP(Tabel_Totaal_werkzaamheden225[[#This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VLOOKUP(Tabel_Totaal_werkzaamheden225[[#This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VLOOKUP(Tabel_Totaal_werkzaamheden225[[#This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237</v>
      </c>
      <c r="C51" s="66" t="s">
        <v>26</v>
      </c>
      <c r="D51" s="54">
        <v>25</v>
      </c>
      <c r="E51" s="188"/>
      <c r="F51" s="55"/>
      <c r="I51" s="21"/>
    </row>
    <row r="52" spans="1:10" ht="15.95" customHeight="1">
      <c r="A52" s="1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VLOOKUP(Tabel_Totaal_werkzaamheden225[[#This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"/>
      <c r="B54" s="60" t="s">
        <v>545</v>
      </c>
      <c r="C54" s="66" t="s">
        <v>26</v>
      </c>
      <c r="D54" s="54">
        <v>50</v>
      </c>
      <c r="E54" s="188"/>
      <c r="F54" s="55"/>
    </row>
    <row r="55" spans="1:10" ht="15.95" customHeight="1">
      <c r="A55" s="1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VLOOKUP(Tabel_Totaal_werkzaamheden225[[#This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19" t="s">
        <v>178</v>
      </c>
      <c r="C59" s="66" t="s">
        <v>24</v>
      </c>
      <c r="D59" s="54">
        <v>33</v>
      </c>
      <c r="E59" s="188"/>
      <c r="F59" s="55"/>
      <c r="I59" s="71"/>
      <c r="J59" s="71"/>
    </row>
    <row r="60" spans="1:10" ht="15.95" customHeight="1">
      <c r="A60" s="1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VLOOKUP(Tabel_Totaal_werkzaamheden225[[#This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"/>
      <c r="B68" s="52" t="s">
        <v>547</v>
      </c>
      <c r="C68" s="66" t="s">
        <v>26</v>
      </c>
      <c r="D68" s="54">
        <v>50</v>
      </c>
      <c r="E68" s="188"/>
      <c r="F68" s="55"/>
    </row>
    <row r="69" spans="1:8" ht="15.95" customHeight="1">
      <c r="A69" s="1"/>
      <c r="B69" s="52" t="s">
        <v>27</v>
      </c>
      <c r="C69" s="66" t="s">
        <v>24</v>
      </c>
      <c r="D69" s="54">
        <v>33</v>
      </c>
      <c r="E69" s="188"/>
      <c r="F69" s="55"/>
    </row>
    <row r="70" spans="1:8" ht="15.95" customHeight="1">
      <c r="A70" s="1"/>
      <c r="B70" s="52" t="s">
        <v>181</v>
      </c>
      <c r="C70" s="66" t="s">
        <v>24</v>
      </c>
      <c r="D70" s="54">
        <v>10</v>
      </c>
      <c r="E70" s="188"/>
      <c r="F70" s="55"/>
    </row>
    <row r="71" spans="1:8" ht="15.95" customHeight="1">
      <c r="A71" s="1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VLOOKUP(Tabel_Totaal_werkzaamheden225[[#This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"/>
      <c r="B74" s="164" t="s">
        <v>340</v>
      </c>
      <c r="C74" s="162" t="s">
        <v>26</v>
      </c>
      <c r="D74" s="156">
        <v>25</v>
      </c>
      <c r="E74" s="193"/>
      <c r="F74" s="157"/>
      <c r="G74" s="163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VLOOKUP(Tabel_Totaal_werkzaamheden225[[#This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VLOOKUP(Tabel_Totaal_werkzaamheden225[[#This Row],[OMSCHRIJVING]],Blad1!A:C,3,FALSE)</f>
        <v>3.9</v>
      </c>
      <c r="B79" s="72" t="s">
        <v>184</v>
      </c>
      <c r="C79" s="73"/>
      <c r="D79" s="54"/>
      <c r="E79" s="188"/>
      <c r="F79" s="55"/>
    </row>
    <row r="80" spans="1:8" s="97" customFormat="1" ht="15.95" customHeight="1">
      <c r="A80" s="1"/>
      <c r="B80" s="74" t="s">
        <v>213</v>
      </c>
      <c r="C80" s="165" t="s">
        <v>24</v>
      </c>
      <c r="D80" s="54">
        <v>12</v>
      </c>
      <c r="E80" s="188"/>
      <c r="F80" s="55"/>
      <c r="G80" s="96"/>
    </row>
    <row r="81" spans="1:7" s="97" customFormat="1" ht="15.95" customHeight="1">
      <c r="A81" s="1"/>
      <c r="B81" s="74" t="s">
        <v>314</v>
      </c>
      <c r="C81" s="165" t="s">
        <v>214</v>
      </c>
      <c r="D81" s="54">
        <v>1</v>
      </c>
      <c r="E81" s="188"/>
      <c r="F81" s="55"/>
      <c r="G81" s="96"/>
    </row>
    <row r="82" spans="1:7" s="97" customFormat="1" ht="15.95" customHeight="1">
      <c r="A82" s="1"/>
      <c r="B82" s="74"/>
      <c r="C82" s="165"/>
      <c r="D82" s="54"/>
      <c r="E82" s="188"/>
      <c r="F82" s="55"/>
      <c r="G82" s="96"/>
    </row>
    <row r="83" spans="1:7" ht="15.95" customHeight="1">
      <c r="A83" s="1" t="str">
        <f>VLOOKUP(Tabel_Totaal_werkzaamheden225[[#This Row],[OMSCHRIJVING]],Blad1!A:C,3,FALSE)</f>
        <v>3.10</v>
      </c>
      <c r="B83" s="15" t="s">
        <v>499</v>
      </c>
      <c r="C83" s="66"/>
      <c r="D83" s="54"/>
      <c r="E83" s="188"/>
      <c r="F83" s="55"/>
    </row>
    <row r="84" spans="1:7" ht="15.95" customHeight="1">
      <c r="A84" s="1"/>
      <c r="B84" s="52" t="s">
        <v>230</v>
      </c>
      <c r="C84" s="66" t="s">
        <v>18</v>
      </c>
      <c r="D84" s="54">
        <v>1</v>
      </c>
      <c r="E84" s="188"/>
      <c r="F84" s="55"/>
    </row>
    <row r="85" spans="1:7" ht="15.95" customHeight="1">
      <c r="A85" s="1" t="str">
        <f>IF(Tabel_Totaal_werkzaamheden225[[#This Row],[OMSCHRIJVING]]="","",_xlfn.XLOOKUP(Tabel_Totaal_werkzaamheden225[[#This Row],[OMSCHRIJVING]],Verwijzingsblad!$B$2:$B$186,Verwijzingsblad!$A$2:$A$186,""))</f>
        <v/>
      </c>
      <c r="B85" s="52"/>
      <c r="C85" s="66"/>
      <c r="D85" s="54"/>
      <c r="E85" s="188"/>
      <c r="F85" s="55"/>
    </row>
    <row r="86" spans="1:7" ht="15.95" customHeight="1">
      <c r="A86" s="205" t="s">
        <v>155</v>
      </c>
      <c r="B86" s="206"/>
      <c r="C86" s="207"/>
      <c r="D86" s="208" t="str">
        <f>B3</f>
        <v>Brug Martina Kramerstraat</v>
      </c>
      <c r="E86" s="209" t="str">
        <f>A3</f>
        <v>MWO-05</v>
      </c>
      <c r="F86" s="210">
        <f>SUBTOTAL(109,Tabel_Totaal_werkzaamheden225[TOTAALBEDRAG IN EURO])</f>
        <v>0</v>
      </c>
      <c r="G86" s="75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6">
    <pageSetUpPr fitToPage="1"/>
  </sheetPr>
  <dimension ref="A1:J174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88</v>
      </c>
      <c r="B3" s="23" t="s">
        <v>89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31" t="s">
        <v>266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18.899999999999999</v>
      </c>
      <c r="E5" s="31" t="s">
        <v>308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IF(Tabel_Totaal_werkzaamheden258[[#This Row],[OMSCHRIJVING]]="","",_xlfn.XLOOKUP(Tabel_Totaal_werkzaamheden258[[#This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VLOOKUP(Tabel_Totaal_werkzaamheden258[[#This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VLOOKUP(Tabel_Totaal_werkzaamheden258[[#This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VLOOKUP(Tabel_Totaal_werkzaamheden258[[#This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VLOOKUP(Tabel_Totaal_werkzaamheden258[[#This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VLOOKUP(Tabel_Totaal_werkzaamheden258[[#This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VLOOKUP(Tabel_Totaal_werkzaamheden258[[#This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VLOOKUP(Tabel_Totaal_werkzaamheden258[[#This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ht="15.95" customHeight="1">
      <c r="A31" s="1"/>
      <c r="B31" s="60"/>
      <c r="C31" s="66"/>
      <c r="D31" s="54"/>
      <c r="E31" s="188"/>
      <c r="F31" s="55"/>
    </row>
    <row r="32" spans="1:10" ht="15.95" customHeight="1">
      <c r="A32" s="1" t="str">
        <f>VLOOKUP(Tabel_Totaal_werkzaamheden258[[#This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VLOOKUP(Tabel_Totaal_werkzaamheden258[[#This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VLOOKUP(Tabel_Totaal_werkzaamheden258[[#This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VLOOKUP(Tabel_Totaal_werkzaamheden258[[#This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VLOOKUP(Tabel_Totaal_werkzaamheden258[[#This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VLOOKUP(Tabel_Totaal_werkzaamheden258[[#This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209</v>
      </c>
      <c r="C51" s="66" t="s">
        <v>26</v>
      </c>
      <c r="D51" s="54">
        <v>9</v>
      </c>
      <c r="E51" s="188"/>
      <c r="F51" s="55"/>
      <c r="I51" s="21"/>
    </row>
    <row r="52" spans="1:10" ht="15.95" customHeight="1">
      <c r="A52" s="1"/>
      <c r="B52" s="52" t="s">
        <v>237</v>
      </c>
      <c r="C52" s="66" t="s">
        <v>26</v>
      </c>
      <c r="D52" s="54">
        <v>9</v>
      </c>
      <c r="E52" s="188"/>
      <c r="F52" s="55"/>
      <c r="I52" s="21"/>
    </row>
    <row r="53" spans="1:10" ht="15.95" customHeight="1">
      <c r="A53" s="1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VLOOKUP(Tabel_Totaal_werkzaamheden258[[#This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"/>
      <c r="B55" s="60" t="s">
        <v>545</v>
      </c>
      <c r="C55" s="66" t="s">
        <v>26</v>
      </c>
      <c r="D55" s="54">
        <v>51</v>
      </c>
      <c r="E55" s="188"/>
      <c r="F55" s="55"/>
    </row>
    <row r="56" spans="1:10" ht="15.95" customHeight="1">
      <c r="A56" s="1"/>
      <c r="B56" s="60" t="s">
        <v>546</v>
      </c>
      <c r="C56" s="66" t="s">
        <v>26</v>
      </c>
      <c r="D56" s="54">
        <v>6</v>
      </c>
      <c r="E56" s="259"/>
      <c r="F56" s="260"/>
    </row>
    <row r="57" spans="1:10" ht="15.95" customHeight="1">
      <c r="A57" s="1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VLOOKUP(Tabel_Totaal_werkzaamheden258[[#This Row],[OMSCHRIJVING]],Blad1!A:C,3,FALSE)</f>
        <v>3.5</v>
      </c>
      <c r="B58" s="70" t="s">
        <v>169</v>
      </c>
      <c r="C58" s="66"/>
      <c r="D58" s="54"/>
      <c r="E58" s="188"/>
      <c r="F58" s="55"/>
    </row>
    <row r="59" spans="1:10" ht="15.95" customHeight="1">
      <c r="A59" s="1"/>
      <c r="B59" s="19" t="s">
        <v>179</v>
      </c>
      <c r="C59" s="66" t="s">
        <v>18</v>
      </c>
      <c r="D59" s="54">
        <v>1</v>
      </c>
      <c r="E59" s="188"/>
      <c r="F59" s="55"/>
    </row>
    <row r="60" spans="1:10" ht="15.95" customHeight="1">
      <c r="A60" s="1"/>
      <c r="B60" s="19" t="s">
        <v>170</v>
      </c>
      <c r="C60" s="66" t="s">
        <v>18</v>
      </c>
      <c r="D60" s="54">
        <v>1</v>
      </c>
      <c r="E60" s="188"/>
      <c r="F60" s="55"/>
      <c r="I60" s="71"/>
      <c r="J60" s="71"/>
    </row>
    <row r="61" spans="1:10" ht="15.95" customHeight="1">
      <c r="A61" s="1"/>
      <c r="B61" s="19" t="s">
        <v>178</v>
      </c>
      <c r="C61" s="66" t="s">
        <v>24</v>
      </c>
      <c r="D61" s="54">
        <v>38</v>
      </c>
      <c r="E61" s="188"/>
      <c r="F61" s="55"/>
    </row>
    <row r="62" spans="1:10" ht="15.95" customHeight="1">
      <c r="A62" s="1"/>
      <c r="B62" s="52"/>
      <c r="C62" s="66"/>
      <c r="D62" s="54"/>
      <c r="E62" s="188"/>
      <c r="F62" s="55"/>
    </row>
    <row r="63" spans="1:10" ht="15.95" customHeight="1">
      <c r="A63" s="1" t="str">
        <f>VLOOKUP(Tabel_Totaal_werkzaamheden258[[#This Row],[OMSCHRIJVING]],Blad1!A:C,3,FALSE)</f>
        <v>3.6</v>
      </c>
      <c r="B63" s="15" t="s">
        <v>472</v>
      </c>
      <c r="C63" s="66"/>
      <c r="D63" s="54"/>
      <c r="E63" s="188"/>
      <c r="F63" s="55"/>
      <c r="G63" s="67"/>
    </row>
    <row r="64" spans="1:10" ht="15.95" customHeight="1">
      <c r="A64" s="1"/>
      <c r="B64" s="52" t="s">
        <v>186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52" t="s">
        <v>167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60" t="s">
        <v>172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23</v>
      </c>
      <c r="C67" s="66" t="s">
        <v>18</v>
      </c>
      <c r="D67" s="54">
        <v>1</v>
      </c>
      <c r="E67" s="188"/>
      <c r="F67" s="55"/>
    </row>
    <row r="68" spans="1:8" ht="15.95" customHeight="1">
      <c r="A68" s="1"/>
      <c r="B68" s="52" t="s">
        <v>25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"/>
      <c r="B69" s="52" t="s">
        <v>185</v>
      </c>
      <c r="C69" s="66" t="s">
        <v>18</v>
      </c>
      <c r="D69" s="54">
        <v>1</v>
      </c>
      <c r="E69" s="188"/>
      <c r="F69" s="55"/>
    </row>
    <row r="70" spans="1:8" ht="15.95" customHeight="1">
      <c r="A70" s="1"/>
      <c r="B70" s="52" t="s">
        <v>548</v>
      </c>
      <c r="C70" s="66" t="s">
        <v>26</v>
      </c>
      <c r="D70" s="54">
        <v>51</v>
      </c>
      <c r="E70" s="188"/>
      <c r="F70" s="55"/>
    </row>
    <row r="71" spans="1:8" ht="15.95" customHeight="1">
      <c r="A71" s="1"/>
      <c r="B71" s="52" t="s">
        <v>549</v>
      </c>
      <c r="C71" s="66" t="s">
        <v>26</v>
      </c>
      <c r="D71" s="54">
        <v>6</v>
      </c>
      <c r="E71" s="188"/>
      <c r="F71" s="55"/>
    </row>
    <row r="72" spans="1:8" ht="15.95" customHeight="1">
      <c r="A72" s="1"/>
      <c r="B72" s="52" t="s">
        <v>27</v>
      </c>
      <c r="C72" s="66" t="s">
        <v>24</v>
      </c>
      <c r="D72" s="54">
        <v>38</v>
      </c>
      <c r="E72" s="188"/>
      <c r="F72" s="55"/>
    </row>
    <row r="73" spans="1:8" ht="15.95" customHeight="1">
      <c r="A73" s="1"/>
      <c r="B73" s="52" t="s">
        <v>181</v>
      </c>
      <c r="C73" s="66" t="s">
        <v>24</v>
      </c>
      <c r="D73" s="54">
        <v>14</v>
      </c>
      <c r="E73" s="188"/>
      <c r="F73" s="55"/>
    </row>
    <row r="74" spans="1:8" ht="15.95" customHeight="1">
      <c r="A74" s="1"/>
      <c r="B74" s="52" t="s">
        <v>171</v>
      </c>
      <c r="C74" s="66" t="s">
        <v>18</v>
      </c>
      <c r="D74" s="54">
        <v>1</v>
      </c>
      <c r="E74" s="188"/>
      <c r="F74" s="55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VLOOKUP(Tabel_Totaal_werkzaamheden258[[#This Row],[OMSCHRIJVING]],Blad1!A:C,3,FALSE)</f>
        <v>3.7</v>
      </c>
      <c r="B76" s="70" t="s">
        <v>174</v>
      </c>
      <c r="C76" s="66"/>
      <c r="D76" s="54"/>
      <c r="E76" s="188"/>
      <c r="F76" s="55"/>
    </row>
    <row r="77" spans="1:8" s="164" customFormat="1" ht="12.75">
      <c r="A77" s="1"/>
      <c r="B77" s="19" t="s">
        <v>239</v>
      </c>
      <c r="C77" s="66" t="s">
        <v>26</v>
      </c>
      <c r="D77" s="54">
        <v>9</v>
      </c>
      <c r="E77" s="188"/>
      <c r="F77" s="55"/>
      <c r="G77" s="163"/>
    </row>
    <row r="78" spans="1:8" ht="15.95" customHeight="1">
      <c r="A78" s="1"/>
      <c r="B78" s="164" t="s">
        <v>340</v>
      </c>
      <c r="C78" s="162" t="s">
        <v>26</v>
      </c>
      <c r="D78" s="156">
        <v>9</v>
      </c>
      <c r="E78" s="193"/>
      <c r="F78" s="157"/>
    </row>
    <row r="79" spans="1:8" ht="15.95" customHeight="1">
      <c r="A79" s="1"/>
      <c r="B79" s="52"/>
      <c r="C79" s="66"/>
      <c r="D79" s="54"/>
      <c r="E79" s="188"/>
      <c r="F79" s="55"/>
    </row>
    <row r="80" spans="1:8" ht="15.95" customHeight="1">
      <c r="A80" s="1" t="str">
        <f>VLOOKUP(Tabel_Totaal_werkzaamheden258[[#This Row],[OMSCHRIJVING]],Blad1!A:C,3,FALSE)</f>
        <v>3.8</v>
      </c>
      <c r="B80" s="72" t="s">
        <v>231</v>
      </c>
      <c r="C80" s="73"/>
      <c r="D80" s="54"/>
      <c r="E80" s="188"/>
      <c r="F80" s="55"/>
    </row>
    <row r="81" spans="1:7" ht="15.95" customHeight="1">
      <c r="A81" s="1"/>
      <c r="B81" s="74" t="s">
        <v>28</v>
      </c>
      <c r="C81" s="73" t="s">
        <v>18</v>
      </c>
      <c r="D81" s="54">
        <v>1</v>
      </c>
      <c r="E81" s="188"/>
      <c r="F81" s="55"/>
    </row>
    <row r="82" spans="1:7" ht="15.95" customHeight="1">
      <c r="A82" s="1"/>
      <c r="B82" s="52"/>
      <c r="C82" s="66"/>
      <c r="D82" s="54"/>
      <c r="E82" s="188"/>
      <c r="F82" s="55"/>
    </row>
    <row r="83" spans="1:7" ht="15.95" customHeight="1">
      <c r="A83" s="1" t="str">
        <f>VLOOKUP(Tabel_Totaal_werkzaamheden258[[#This Row],[OMSCHRIJVING]],Blad1!A:C,3,FALSE)</f>
        <v>3.10</v>
      </c>
      <c r="B83" s="15" t="s">
        <v>499</v>
      </c>
      <c r="C83" s="66"/>
      <c r="D83" s="54"/>
      <c r="E83" s="188"/>
      <c r="F83" s="55"/>
    </row>
    <row r="84" spans="1:7" ht="15.95" customHeight="1">
      <c r="A84" s="1"/>
      <c r="B84" s="52" t="s">
        <v>230</v>
      </c>
      <c r="C84" s="66" t="s">
        <v>18</v>
      </c>
      <c r="D84" s="54">
        <v>1</v>
      </c>
      <c r="E84" s="188"/>
      <c r="F84" s="55"/>
    </row>
    <row r="85" spans="1:7" ht="15.95" customHeight="1">
      <c r="A85" s="1" t="str">
        <f>IF(Tabel_Totaal_werkzaamheden258[[#This Row],[OMSCHRIJVING]]="","",_xlfn.XLOOKUP(Tabel_Totaal_werkzaamheden258[[#This Row],[OMSCHRIJVING]],Verwijzingsblad!$B$2:$B$186,Verwijzingsblad!$A$2:$A$186,""))</f>
        <v/>
      </c>
      <c r="B85" s="52"/>
      <c r="C85" s="66"/>
      <c r="D85" s="54"/>
      <c r="E85" s="188"/>
      <c r="F85" s="55"/>
      <c r="G85" s="75"/>
    </row>
    <row r="86" spans="1:7" ht="15.95" customHeight="1">
      <c r="A86" s="211" t="s">
        <v>155</v>
      </c>
      <c r="B86" s="212"/>
      <c r="C86" s="213"/>
      <c r="D86" s="214" t="str">
        <f>B3</f>
        <v>Brug Marga Klompéstraat</v>
      </c>
      <c r="E86" s="215" t="str">
        <f>A3</f>
        <v>MWW-07</v>
      </c>
      <c r="F86" s="216">
        <f>SUBTOTAL(109,Tabel_Totaal_werkzaamheden258[TOTAALBEDRAG IN EURO])</f>
        <v>0</v>
      </c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  <row r="173" spans="5:5" ht="15.95" customHeight="1">
      <c r="E173" s="192"/>
    </row>
    <row r="174" spans="5:5" ht="15.95" customHeight="1">
      <c r="E174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5">
    <pageSetUpPr fitToPage="1"/>
  </sheetPr>
  <dimension ref="A1:J174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90</v>
      </c>
      <c r="B3" s="23" t="s">
        <v>91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3.9</v>
      </c>
      <c r="E4" s="152" t="s">
        <v>256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17.3</v>
      </c>
      <c r="E5" s="152" t="s">
        <v>255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IF(Tabel_Totaal_werkzaamheden257[[#This Row],[OMSCHRIJVING]]="","",_xlfn.XLOOKUP(Tabel_Totaal_werkzaamheden257[[#This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VLOOKUP(Tabel_Totaal_werkzaamheden257[[#This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VLOOKUP(Tabel_Totaal_werkzaamheden257[[#This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VLOOKUP(Tabel_Totaal_werkzaamheden257[[#This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VLOOKUP(Tabel_Totaal_werkzaamheden257[[#This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VLOOKUP(Tabel_Totaal_werkzaamheden257[[#This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VLOOKUP(Tabel_Totaal_werkzaamheden257[[#This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VLOOKUP(Tabel_Totaal_werkzaamheden257[[#This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VLOOKUP(Tabel_Totaal_werkzaamheden257[[#This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VLOOKUP(Tabel_Totaal_werkzaamheden257[[#This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VLOOKUP(Tabel_Totaal_werkzaamheden257[[#This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VLOOKUP(Tabel_Totaal_werkzaamheden257[[#This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VLOOKUP(Tabel_Totaal_werkzaamheden257[[#This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VLOOKUP(Tabel_Totaal_werkzaamheden257[[#This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12</v>
      </c>
      <c r="E51" s="188"/>
      <c r="F51" s="55"/>
    </row>
    <row r="52" spans="1:10" ht="15.95" customHeight="1">
      <c r="A52" s="14"/>
      <c r="B52" s="52" t="s">
        <v>237</v>
      </c>
      <c r="C52" s="66" t="s">
        <v>26</v>
      </c>
      <c r="D52" s="54">
        <v>15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VLOOKUP(Tabel_Totaal_werkzaamheden257[[#This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60</v>
      </c>
      <c r="E55" s="188"/>
      <c r="F55" s="55"/>
    </row>
    <row r="56" spans="1:10" ht="15.95" customHeight="1">
      <c r="A56" s="14"/>
      <c r="B56" s="60" t="s">
        <v>546</v>
      </c>
      <c r="C56" s="66" t="s">
        <v>26</v>
      </c>
      <c r="D56" s="54">
        <v>8</v>
      </c>
      <c r="E56" s="259"/>
      <c r="F56" s="260"/>
    </row>
    <row r="57" spans="1:10" ht="15.95" customHeight="1">
      <c r="A57" s="14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VLOOKUP(Tabel_Totaal_werkzaamheden257[[#This Row],[OMSCHRIJVING]],Blad1!A:C,3,FALSE)</f>
        <v>3.5</v>
      </c>
      <c r="B58" s="70" t="s">
        <v>169</v>
      </c>
      <c r="C58" s="66"/>
      <c r="D58" s="54"/>
      <c r="E58" s="188"/>
      <c r="F58" s="55"/>
    </row>
    <row r="59" spans="1:10" ht="15.95" customHeight="1">
      <c r="A59" s="14"/>
      <c r="B59" s="19" t="s">
        <v>179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170</v>
      </c>
      <c r="C60" s="66" t="s">
        <v>18</v>
      </c>
      <c r="D60" s="54">
        <v>1</v>
      </c>
      <c r="E60" s="188"/>
      <c r="F60" s="55"/>
    </row>
    <row r="61" spans="1:10" ht="15.95" customHeight="1">
      <c r="A61" s="14"/>
      <c r="B61" s="19" t="s">
        <v>178</v>
      </c>
      <c r="C61" s="66" t="s">
        <v>24</v>
      </c>
      <c r="D61" s="54">
        <v>35</v>
      </c>
      <c r="E61" s="188"/>
      <c r="F61" s="55"/>
      <c r="I61" s="71"/>
      <c r="J61" s="71"/>
    </row>
    <row r="62" spans="1:10" ht="15.95" customHeight="1">
      <c r="A62" s="14"/>
      <c r="B62" s="52"/>
      <c r="C62" s="66"/>
      <c r="D62" s="54"/>
      <c r="E62" s="188"/>
      <c r="F62" s="55"/>
    </row>
    <row r="63" spans="1:10" ht="15.95" customHeight="1">
      <c r="A63" s="1" t="str">
        <f>VLOOKUP(Tabel_Totaal_werkzaamheden257[[#This Row],[OMSCHRIJVING]],Blad1!A:C,3,FALSE)</f>
        <v>3.6</v>
      </c>
      <c r="B63" s="15" t="s">
        <v>472</v>
      </c>
      <c r="C63" s="66"/>
      <c r="D63" s="54"/>
      <c r="E63" s="188"/>
      <c r="F63" s="55"/>
    </row>
    <row r="64" spans="1:10" ht="15.95" customHeight="1">
      <c r="A64" s="14"/>
      <c r="B64" s="52" t="s">
        <v>186</v>
      </c>
      <c r="C64" s="66" t="s">
        <v>18</v>
      </c>
      <c r="D64" s="54">
        <v>1</v>
      </c>
      <c r="E64" s="188"/>
      <c r="F64" s="55"/>
      <c r="G64" s="67"/>
    </row>
    <row r="65" spans="1:8" ht="15.95" customHeight="1">
      <c r="A65" s="14"/>
      <c r="B65" s="52" t="s">
        <v>167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60" t="s">
        <v>172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23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25</v>
      </c>
      <c r="C68" s="66" t="s">
        <v>18</v>
      </c>
      <c r="D68" s="54">
        <v>1</v>
      </c>
      <c r="E68" s="188"/>
      <c r="F68" s="55"/>
    </row>
    <row r="69" spans="1:8" ht="15.95" customHeight="1">
      <c r="A69" s="14"/>
      <c r="B69" s="52" t="s">
        <v>185</v>
      </c>
      <c r="C69" s="66" t="s">
        <v>18</v>
      </c>
      <c r="D69" s="54">
        <v>1</v>
      </c>
      <c r="E69" s="188"/>
      <c r="F69" s="55"/>
      <c r="H69" s="21"/>
    </row>
    <row r="70" spans="1:8" ht="15.95" customHeight="1">
      <c r="A70" s="14"/>
      <c r="B70" s="52" t="s">
        <v>548</v>
      </c>
      <c r="C70" s="66" t="s">
        <v>26</v>
      </c>
      <c r="D70" s="54">
        <v>59.5</v>
      </c>
      <c r="E70" s="188"/>
      <c r="F70" s="55"/>
    </row>
    <row r="71" spans="1:8" ht="15.95" customHeight="1">
      <c r="A71" s="14"/>
      <c r="B71" s="52" t="s">
        <v>549</v>
      </c>
      <c r="C71" s="66" t="s">
        <v>26</v>
      </c>
      <c r="D71" s="54">
        <v>8.5</v>
      </c>
      <c r="E71" s="188"/>
      <c r="F71" s="55"/>
    </row>
    <row r="72" spans="1:8" ht="15.95" customHeight="1">
      <c r="A72" s="14"/>
      <c r="B72" s="52" t="s">
        <v>27</v>
      </c>
      <c r="C72" s="66" t="s">
        <v>24</v>
      </c>
      <c r="D72" s="54">
        <v>35</v>
      </c>
      <c r="E72" s="188"/>
      <c r="F72" s="55"/>
    </row>
    <row r="73" spans="1:8" ht="15.95" customHeight="1">
      <c r="A73" s="14"/>
      <c r="B73" s="52" t="s">
        <v>181</v>
      </c>
      <c r="C73" s="66" t="s">
        <v>24</v>
      </c>
      <c r="D73" s="54">
        <v>16</v>
      </c>
      <c r="E73" s="188"/>
      <c r="F73" s="55"/>
    </row>
    <row r="74" spans="1:8" ht="15.95" customHeight="1">
      <c r="A74" s="14"/>
      <c r="B74" s="52" t="s">
        <v>171</v>
      </c>
      <c r="C74" s="66" t="s">
        <v>18</v>
      </c>
      <c r="D74" s="54">
        <v>1</v>
      </c>
      <c r="E74" s="188"/>
      <c r="F74" s="55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VLOOKUP(Tabel_Totaal_werkzaamheden257[[#This Row],[OMSCHRIJVING]],Blad1!A:C,3,FALSE)</f>
        <v>3.7</v>
      </c>
      <c r="B76" s="70" t="s">
        <v>174</v>
      </c>
      <c r="C76" s="66"/>
      <c r="D76" s="54"/>
      <c r="E76" s="188"/>
      <c r="F76" s="55"/>
    </row>
    <row r="77" spans="1:8" ht="15.95" customHeight="1">
      <c r="A77" s="14"/>
      <c r="B77" s="19" t="s">
        <v>239</v>
      </c>
      <c r="C77" s="66" t="s">
        <v>26</v>
      </c>
      <c r="D77" s="54">
        <v>12</v>
      </c>
      <c r="E77" s="188"/>
      <c r="F77" s="55"/>
    </row>
    <row r="78" spans="1:8" s="164" customFormat="1" ht="25.5">
      <c r="A78" s="16"/>
      <c r="B78" s="164" t="s">
        <v>340</v>
      </c>
      <c r="C78" s="162" t="s">
        <v>26</v>
      </c>
      <c r="D78" s="156">
        <v>15</v>
      </c>
      <c r="E78" s="193"/>
      <c r="F78" s="157"/>
      <c r="G78" s="163"/>
    </row>
    <row r="79" spans="1:8" ht="15.95" customHeight="1">
      <c r="A79" s="14"/>
      <c r="B79" s="52"/>
      <c r="C79" s="66"/>
      <c r="D79" s="54"/>
      <c r="E79" s="188"/>
      <c r="F79" s="55"/>
    </row>
    <row r="80" spans="1:8" ht="15.95" customHeight="1">
      <c r="A80" s="1" t="str">
        <f>VLOOKUP(Tabel_Totaal_werkzaamheden257[[#This Row],[OMSCHRIJVING]],Blad1!A:C,3,FALSE)</f>
        <v>3.8</v>
      </c>
      <c r="B80" s="72" t="s">
        <v>231</v>
      </c>
      <c r="C80" s="73"/>
      <c r="D80" s="54"/>
      <c r="E80" s="188"/>
      <c r="F80" s="55"/>
    </row>
    <row r="81" spans="1:7" ht="15.95" customHeight="1">
      <c r="A81" s="14"/>
      <c r="B81" s="74" t="s">
        <v>28</v>
      </c>
      <c r="C81" s="73" t="s">
        <v>18</v>
      </c>
      <c r="D81" s="54">
        <v>1</v>
      </c>
      <c r="E81" s="188"/>
      <c r="F81" s="55"/>
    </row>
    <row r="82" spans="1:7" ht="15.95" customHeight="1">
      <c r="A82" s="18"/>
      <c r="B82" s="177"/>
      <c r="C82" s="178"/>
      <c r="D82" s="175"/>
      <c r="E82" s="195"/>
      <c r="F82" s="176"/>
    </row>
    <row r="83" spans="1:7" ht="15.95" customHeight="1">
      <c r="A83" s="1" t="str">
        <f>VLOOKUP(Tabel_Totaal_werkzaamheden257[[#This Row],[OMSCHRIJVING]],Blad1!A:C,3,FALSE)</f>
        <v>3.9</v>
      </c>
      <c r="B83" s="72" t="s">
        <v>184</v>
      </c>
      <c r="C83" s="178"/>
      <c r="D83" s="175"/>
      <c r="E83" s="195"/>
      <c r="F83" s="176"/>
    </row>
    <row r="84" spans="1:7" ht="15.95" customHeight="1">
      <c r="A84" s="219" t="s">
        <v>493</v>
      </c>
      <c r="B84" s="74" t="s">
        <v>313</v>
      </c>
      <c r="C84" s="73" t="s">
        <v>214</v>
      </c>
      <c r="D84" s="175">
        <v>2</v>
      </c>
      <c r="E84" s="195"/>
      <c r="F84" s="55"/>
    </row>
    <row r="85" spans="1:7" ht="15.95" customHeight="1">
      <c r="A85" s="18"/>
      <c r="B85" s="52"/>
      <c r="C85" s="66"/>
      <c r="D85" s="54"/>
      <c r="E85" s="188"/>
      <c r="F85" s="55"/>
    </row>
    <row r="86" spans="1:7" ht="15.95" customHeight="1">
      <c r="A86" s="1" t="str">
        <f>VLOOKUP(Tabel_Totaal_werkzaamheden257[[#This Row],[OMSCHRIJVING]],Blad1!A:C,3,FALSE)</f>
        <v>3.10</v>
      </c>
      <c r="B86" s="15" t="s">
        <v>499</v>
      </c>
      <c r="C86" s="66"/>
      <c r="D86" s="54"/>
      <c r="E86" s="188"/>
      <c r="F86" s="55"/>
    </row>
    <row r="87" spans="1:7" ht="15.95" customHeight="1">
      <c r="A87" s="14"/>
      <c r="B87" s="52" t="s">
        <v>230</v>
      </c>
      <c r="C87" s="66" t="s">
        <v>18</v>
      </c>
      <c r="D87" s="54">
        <v>1</v>
      </c>
      <c r="E87" s="188"/>
      <c r="F87" s="55"/>
    </row>
    <row r="88" spans="1:7" ht="15.95" customHeight="1">
      <c r="A88" s="14" t="str">
        <f>IF(Tabel_Totaal_werkzaamheden257[[#This Row],[OMSCHRIJVING]]="","",_xlfn.XLOOKUP(Tabel_Totaal_werkzaamheden257[[#This Row],[OMSCHRIJVING]],Verwijzingsblad!$B$2:$B$186,Verwijzingsblad!$A$2:$A$186,""))</f>
        <v/>
      </c>
      <c r="B88" s="52"/>
      <c r="C88" s="66"/>
      <c r="D88" s="54"/>
      <c r="E88" s="188"/>
      <c r="F88" s="55"/>
    </row>
    <row r="89" spans="1:7" ht="15.95" customHeight="1">
      <c r="A89" s="211" t="s">
        <v>155</v>
      </c>
      <c r="B89" s="212"/>
      <c r="C89" s="213"/>
      <c r="D89" s="214" t="str">
        <f>B3</f>
        <v>Brug Haya van Someren Downerpad</v>
      </c>
      <c r="E89" s="215" t="str">
        <f>A3</f>
        <v>MWW-08</v>
      </c>
      <c r="F89" s="216">
        <f>SUBTOTAL(109,Tabel_Totaal_werkzaamheden257[TOTAALBEDRAG IN EURO])</f>
        <v>0</v>
      </c>
      <c r="G89" s="75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1:6" ht="15.95" customHeight="1">
      <c r="A97" s="15"/>
      <c r="B97" s="52"/>
      <c r="C97" s="52"/>
      <c r="D97" s="76"/>
      <c r="E97" s="191"/>
      <c r="F97" s="77"/>
    </row>
    <row r="98" spans="1:6" ht="15.95" customHeight="1">
      <c r="A98" s="15"/>
      <c r="B98" s="52"/>
      <c r="C98" s="52"/>
      <c r="D98" s="76"/>
      <c r="E98" s="191"/>
      <c r="F98" s="77"/>
    </row>
    <row r="99" spans="1:6" ht="15.95" customHeight="1">
      <c r="E99" s="192"/>
    </row>
    <row r="100" spans="1:6" ht="15.95" customHeight="1">
      <c r="E100" s="192"/>
    </row>
    <row r="101" spans="1:6" ht="15.95" customHeight="1">
      <c r="E101" s="192"/>
    </row>
    <row r="102" spans="1:6" ht="15.95" customHeight="1">
      <c r="E102" s="192"/>
    </row>
    <row r="103" spans="1:6" ht="15.95" customHeight="1">
      <c r="E103" s="192"/>
    </row>
    <row r="104" spans="1:6" ht="15.95" customHeight="1">
      <c r="E104" s="192"/>
    </row>
    <row r="105" spans="1:6" ht="15.95" customHeight="1">
      <c r="E105" s="192"/>
    </row>
    <row r="106" spans="1:6" ht="15.95" customHeight="1">
      <c r="E106" s="192"/>
    </row>
    <row r="107" spans="1:6" ht="15.95" customHeight="1">
      <c r="E107" s="192"/>
    </row>
    <row r="108" spans="1:6" ht="15.95" customHeight="1">
      <c r="E108" s="192"/>
    </row>
    <row r="109" spans="1:6" ht="15.95" customHeight="1">
      <c r="E109" s="192"/>
    </row>
    <row r="110" spans="1:6" ht="15.95" customHeight="1">
      <c r="E110" s="192"/>
    </row>
    <row r="111" spans="1:6" ht="15.95" customHeight="1">
      <c r="E111" s="192"/>
    </row>
    <row r="112" spans="1:6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  <row r="173" spans="5:5" ht="15.95" customHeight="1">
      <c r="E173" s="192"/>
    </row>
    <row r="174" spans="5:5" ht="15.95" customHeight="1">
      <c r="E174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4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92</v>
      </c>
      <c r="B3" s="23" t="s">
        <v>93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31" t="s">
        <v>256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12.3</v>
      </c>
      <c r="E5" s="31" t="s">
        <v>255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IF(Tabel_Totaal_werkzaamheden256[[#This Row],[OMSCHRIJVING]]="","",_xlfn.XLOOKUP(Tabel_Totaal_werkzaamheden256[[#This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VLOOKUP(Tabel_Totaal_werkzaamheden256[[#This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VLOOKUP(Tabel_Totaal_werkzaamheden256[[#This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VLOOKUP(Tabel_Totaal_werkzaamheden256[[#This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VLOOKUP(Tabel_Totaal_werkzaamheden256[[#This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VLOOKUP(Tabel_Totaal_werkzaamheden256[[#This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VLOOKUP(Tabel_Totaal_werkzaamheden256[[#This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VLOOKUP(Tabel_Totaal_werkzaamheden256[[#This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7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VLOOKUP(Tabel_Totaal_werkzaamheden256[[#This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VLOOKUP(Tabel_Totaal_werkzaamheden256[[#This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VLOOKUP(Tabel_Totaal_werkzaamheden256[[#This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VLOOKUP(Tabel_Totaal_werkzaamheden256[[#This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VLOOKUP(Tabel_Totaal_werkzaamheden256[[#This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VLOOKUP(Tabel_Totaal_werkzaamheden256[[#This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25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VLOOKUP(Tabel_Totaal_werkzaamheden256[[#This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37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VLOOKUP(Tabel_Totaal_werkzaamheden256[[#This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25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VLOOKUP(Tabel_Totaal_werkzaamheden256[[#This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547</v>
      </c>
      <c r="C68" s="66" t="s">
        <v>26</v>
      </c>
      <c r="D68" s="54">
        <v>37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25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14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VLOOKUP(Tabel_Totaal_werkzaamheden256[[#This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6"/>
      <c r="B74" s="164" t="s">
        <v>340</v>
      </c>
      <c r="C74" s="162" t="s">
        <v>26</v>
      </c>
      <c r="D74" s="156">
        <v>25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VLOOKUP(Tabel_Totaal_werkzaamheden256[[#This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4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VLOOKUP(Tabel_Totaal_werkzaamheden256[[#This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4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4" t="str">
        <f>IF(Tabel_Totaal_werkzaamheden256[[#This Row],[OMSCHRIJVING]]="","",_xlfn.XLOOKUP(Tabel_Totaal_werkzaamheden256[[#This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Wilhelmina Bladergroenstraat</v>
      </c>
      <c r="E82" s="209" t="str">
        <f>A3</f>
        <v>MWW-10</v>
      </c>
      <c r="F82" s="210">
        <f>SUBTOTAL(109,Tabel_Totaal_werkzaamheden256[TOTAALBEDRAG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3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94</v>
      </c>
      <c r="B3" s="23" t="s">
        <v>95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2.2999999999999998</v>
      </c>
      <c r="E4" s="152" t="s">
        <v>258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15</v>
      </c>
      <c r="E5" s="152" t="s">
        <v>257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" t="str">
        <f>IF(Tabel_Totaal_werkzaamheden255[[#This Row],[OMSCHRIJVING]]="","",_xlfn.XLOOKUP(Tabel_Totaal_werkzaamheden255[[#This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VLOOKUP(Tabel_Totaal_werkzaamheden255[[#This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VLOOKUP(Tabel_Totaal_werkzaamheden255[[#This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VLOOKUP(Tabel_Totaal_werkzaamheden255[[#This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VLOOKUP(Tabel_Totaal_werkzaamheden255[[#This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VLOOKUP(Tabel_Totaal_werkzaamheden255[[#This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VLOOKUP(Tabel_Totaal_werkzaamheden255[[#This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VLOOKUP(Tabel_Totaal_werkzaamheden255[[#This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VLOOKUP(Tabel_Totaal_werkzaamheden255[[#This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VLOOKUP(Tabel_Totaal_werkzaamheden255[[#This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VLOOKUP(Tabel_Totaal_werkzaamheden255[[#This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VLOOKUP(Tabel_Totaal_werkzaamheden255[[#This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VLOOKUP(Tabel_Totaal_werkzaamheden255[[#This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7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VLOOKUP(Tabel_Totaal_werkzaamheden255[[#This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238</v>
      </c>
      <c r="C51" s="66" t="s">
        <v>26</v>
      </c>
      <c r="D51" s="54">
        <v>35</v>
      </c>
      <c r="E51" s="188"/>
      <c r="F51" s="55"/>
      <c r="I51" s="21"/>
    </row>
    <row r="52" spans="1:10" ht="15.95" customHeight="1">
      <c r="A52" s="14"/>
      <c r="B52" s="60" t="s">
        <v>325</v>
      </c>
      <c r="C52" s="66" t="s">
        <v>18</v>
      </c>
      <c r="D52" s="54">
        <v>1</v>
      </c>
      <c r="E52" s="188"/>
      <c r="F52" s="55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VLOOKUP(Tabel_Totaal_werkzaamheden255[[#This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35</v>
      </c>
      <c r="E55" s="188"/>
      <c r="F55" s="55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VLOOKUP(Tabel_Totaal_werkzaamheden255[[#This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30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VLOOKUP(Tabel_Totaal_werkzaamheden255[[#This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4"/>
      <c r="B69" s="52" t="s">
        <v>542</v>
      </c>
      <c r="C69" s="66" t="s">
        <v>26</v>
      </c>
      <c r="D69" s="54">
        <v>35</v>
      </c>
      <c r="E69" s="188"/>
      <c r="F69" s="55"/>
    </row>
    <row r="70" spans="1:8" ht="15.95" customHeight="1">
      <c r="A70" s="14"/>
      <c r="B70" s="52" t="s">
        <v>27</v>
      </c>
      <c r="C70" s="66" t="s">
        <v>24</v>
      </c>
      <c r="D70" s="54">
        <v>30</v>
      </c>
      <c r="E70" s="188"/>
      <c r="F70" s="55"/>
    </row>
    <row r="71" spans="1:8" ht="15.95" customHeight="1">
      <c r="A71" s="14"/>
      <c r="B71" s="52" t="s">
        <v>181</v>
      </c>
      <c r="C71" s="66" t="s">
        <v>24</v>
      </c>
      <c r="D71" s="54">
        <v>13</v>
      </c>
      <c r="E71" s="188"/>
      <c r="F71" s="55"/>
    </row>
    <row r="72" spans="1:8" ht="15.95" customHeight="1">
      <c r="A72" s="14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4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VLOOKUP(Tabel_Totaal_werkzaamheden255[[#This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ht="15.95" customHeight="1">
      <c r="A75" s="14"/>
      <c r="B75" s="19" t="s">
        <v>342</v>
      </c>
      <c r="C75" s="66" t="s">
        <v>26</v>
      </c>
      <c r="D75" s="54">
        <v>35</v>
      </c>
      <c r="E75" s="188"/>
      <c r="F75" s="55"/>
    </row>
    <row r="76" spans="1:8" ht="15.95" customHeight="1">
      <c r="A76" s="14"/>
      <c r="B76" s="52"/>
      <c r="C76" s="66"/>
      <c r="D76" s="54"/>
      <c r="E76" s="188"/>
      <c r="F76" s="55"/>
    </row>
    <row r="77" spans="1:8" ht="15.95" customHeight="1">
      <c r="A77" s="1" t="str">
        <f>VLOOKUP(Tabel_Totaal_werkzaamheden255[[#This Row],[OMSCHRIJVING]],Blad1!A:C,3,FALSE)</f>
        <v>3.8</v>
      </c>
      <c r="B77" s="72" t="s">
        <v>231</v>
      </c>
      <c r="C77" s="73"/>
      <c r="D77" s="54"/>
      <c r="E77" s="188"/>
      <c r="F77" s="55"/>
    </row>
    <row r="78" spans="1:8" ht="15.95" customHeight="1">
      <c r="A78" s="14"/>
      <c r="B78" s="74" t="s">
        <v>28</v>
      </c>
      <c r="C78" s="73" t="s">
        <v>18</v>
      </c>
      <c r="D78" s="54">
        <v>1</v>
      </c>
      <c r="E78" s="188"/>
      <c r="F78" s="55"/>
    </row>
    <row r="79" spans="1:8" ht="15.95" customHeight="1">
      <c r="A79" s="14"/>
      <c r="B79" s="52"/>
      <c r="C79" s="66"/>
      <c r="D79" s="54"/>
      <c r="E79" s="188"/>
      <c r="F79" s="55"/>
    </row>
    <row r="80" spans="1:8" ht="15.6" customHeight="1">
      <c r="A80" s="1" t="str">
        <f>VLOOKUP(Tabel_Totaal_werkzaamheden255[[#This Row],[OMSCHRIJVING]],Blad1!A:C,3,FALSE)</f>
        <v>3.9</v>
      </c>
      <c r="B80" s="72" t="s">
        <v>184</v>
      </c>
      <c r="C80" s="73"/>
      <c r="D80" s="54"/>
      <c r="E80" s="188"/>
      <c r="F80" s="55"/>
    </row>
    <row r="81" spans="1:7" s="97" customFormat="1" ht="12.75">
      <c r="A81" s="219" t="s">
        <v>489</v>
      </c>
      <c r="B81" s="74" t="s">
        <v>321</v>
      </c>
      <c r="C81" s="73" t="s">
        <v>18</v>
      </c>
      <c r="D81" s="54">
        <v>1</v>
      </c>
      <c r="E81" s="188"/>
      <c r="F81" s="55"/>
      <c r="G81" s="96"/>
    </row>
    <row r="82" spans="1:7" ht="15.95" customHeight="1">
      <c r="A82" s="14"/>
      <c r="B82" s="173"/>
      <c r="C82" s="174"/>
      <c r="D82" s="175"/>
      <c r="E82" s="195"/>
      <c r="F82" s="176"/>
    </row>
    <row r="83" spans="1:7" ht="15.95" customHeight="1">
      <c r="A83" s="1" t="str">
        <f>VLOOKUP(Tabel_Totaal_werkzaamheden255[[#This Row],[OMSCHRIJVING]],Blad1!A:C,3,FALSE)</f>
        <v>3.10</v>
      </c>
      <c r="B83" s="15" t="s">
        <v>499</v>
      </c>
      <c r="C83" s="66"/>
      <c r="D83" s="54"/>
      <c r="E83" s="188"/>
      <c r="F83" s="55"/>
    </row>
    <row r="84" spans="1:7" ht="15.95" customHeight="1">
      <c r="A84" s="14"/>
      <c r="B84" s="52" t="s">
        <v>230</v>
      </c>
      <c r="C84" s="66" t="s">
        <v>18</v>
      </c>
      <c r="D84" s="54">
        <v>1</v>
      </c>
      <c r="E84" s="188"/>
      <c r="F84" s="55"/>
    </row>
    <row r="85" spans="1:7" ht="15.95" customHeight="1">
      <c r="A85" s="14" t="str">
        <f>IF(Tabel_Totaal_werkzaamheden255[[#This Row],[OMSCHRIJVING]]="","",_xlfn.XLOOKUP(Tabel_Totaal_werkzaamheden255[[#This Row],[OMSCHRIJVING]],Verwijzingsblad!$B$2:$B$186,Verwijzingsblad!$A$2:$A$186,""))</f>
        <v/>
      </c>
      <c r="B85" s="52"/>
      <c r="C85" s="66"/>
      <c r="D85" s="54"/>
      <c r="E85" s="188"/>
      <c r="F85" s="55"/>
    </row>
    <row r="86" spans="1:7" ht="15.95" customHeight="1">
      <c r="A86" s="205" t="s">
        <v>155</v>
      </c>
      <c r="B86" s="206"/>
      <c r="C86" s="207"/>
      <c r="D86" s="208" t="str">
        <f>B3</f>
        <v>Brug Medocgaard</v>
      </c>
      <c r="E86" s="209" t="str">
        <f>A3</f>
        <v>PAB-05</v>
      </c>
      <c r="F86" s="210">
        <f>SUBTOTAL(109,Tabel_Totaal_werkzaamheden255[TOTAALBEDRAG IN EURO])</f>
        <v>0</v>
      </c>
      <c r="G86" s="75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J94"/>
  <sheetViews>
    <sheetView tabSelected="1" view="pageBreakPreview" topLeftCell="A4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28515625" style="19" customWidth="1"/>
    <col min="4" max="4" width="12.28515625" style="19" customWidth="1"/>
    <col min="5" max="6" width="15.7109375" style="78" customWidth="1"/>
    <col min="7" max="7" width="10.85546875" style="21" bestFit="1" customWidth="1"/>
    <col min="8" max="8" width="9.140625" style="19"/>
    <col min="9" max="9" width="9.28515625" style="19" bestFit="1" customWidth="1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6" ht="15.95" customHeight="1">
      <c r="A1" s="261" t="s">
        <v>41</v>
      </c>
      <c r="B1" s="262"/>
      <c r="C1" s="262"/>
      <c r="D1" s="262"/>
      <c r="E1" s="262"/>
      <c r="F1" s="262"/>
    </row>
    <row r="2" spans="1:6" ht="15.95" customHeight="1" thickBot="1">
      <c r="A2" s="263"/>
      <c r="B2" s="264"/>
      <c r="C2" s="264"/>
      <c r="D2" s="264"/>
      <c r="E2" s="264"/>
      <c r="F2" s="264"/>
    </row>
    <row r="3" spans="1:6" ht="15.75" customHeight="1" thickBot="1">
      <c r="A3" s="22" t="s">
        <v>44</v>
      </c>
      <c r="B3" s="23" t="s">
        <v>45</v>
      </c>
      <c r="C3" s="24"/>
      <c r="D3" s="24"/>
      <c r="E3" s="25"/>
      <c r="F3" s="26"/>
    </row>
    <row r="4" spans="1:6" ht="15.75" customHeight="1">
      <c r="A4" s="242"/>
      <c r="B4" s="221" t="s">
        <v>168</v>
      </c>
      <c r="C4" s="222" t="s">
        <v>225</v>
      </c>
      <c r="D4" s="223">
        <v>1.95</v>
      </c>
      <c r="E4" s="224" t="s">
        <v>246</v>
      </c>
      <c r="F4" s="243"/>
    </row>
    <row r="5" spans="1:6" ht="15.75" customHeight="1">
      <c r="A5" s="27"/>
      <c r="B5" s="28" t="s">
        <v>315</v>
      </c>
      <c r="C5" s="29" t="s">
        <v>225</v>
      </c>
      <c r="D5" s="30">
        <v>14.7</v>
      </c>
      <c r="E5" s="31" t="s">
        <v>247</v>
      </c>
      <c r="F5" s="32"/>
    </row>
    <row r="6" spans="1:6" ht="15.75" customHeight="1" thickBot="1">
      <c r="A6" s="33"/>
      <c r="B6" s="33"/>
      <c r="C6" s="29"/>
      <c r="D6" s="30"/>
      <c r="E6" s="34"/>
      <c r="F6" s="34"/>
    </row>
    <row r="7" spans="1:6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</row>
    <row r="8" spans="1:6" ht="15.95" customHeight="1">
      <c r="A8" s="200" t="str">
        <f>IF(Tabel_Totaal_werkzaamheden[[#This Row],[OMSCHRIJVING]]="","",_xlfn.XLOOKUP(Tabel_Totaal_werkzaamheden[[#This Row],[OMSCHRIJVING]],Verwijzingsblad!$B$2:$B$186,Verwijzingsblad!$A$2:$A$186,""))</f>
        <v/>
      </c>
      <c r="B8" s="41"/>
      <c r="C8" s="198"/>
      <c r="D8" s="42"/>
      <c r="E8" s="186"/>
      <c r="F8" s="51"/>
    </row>
    <row r="9" spans="1:6" ht="15.95" customHeight="1">
      <c r="A9" s="199" t="str">
        <f>VLOOKUP(Tabel_Totaal_werkzaamheden[[#This Row],[OMSCHRIJVING]],Blad1!A:C,3,FALSE)</f>
        <v>2.4.13</v>
      </c>
      <c r="B9" s="44" t="s">
        <v>157</v>
      </c>
      <c r="C9" s="198"/>
      <c r="D9" s="46"/>
      <c r="E9" s="187"/>
      <c r="F9" s="51"/>
    </row>
    <row r="10" spans="1:6" ht="15.95" customHeight="1">
      <c r="A10" s="199"/>
      <c r="B10" s="48" t="s">
        <v>158</v>
      </c>
      <c r="C10" s="198" t="s">
        <v>18</v>
      </c>
      <c r="D10" s="50">
        <v>1</v>
      </c>
      <c r="E10" s="187"/>
      <c r="F10" s="51"/>
    </row>
    <row r="11" spans="1:6" ht="15.95" customHeight="1">
      <c r="A11" s="199"/>
      <c r="B11" s="48" t="s">
        <v>232</v>
      </c>
      <c r="C11" s="198" t="s">
        <v>18</v>
      </c>
      <c r="D11" s="50">
        <v>1</v>
      </c>
      <c r="E11" s="187"/>
      <c r="F11" s="51"/>
    </row>
    <row r="12" spans="1:6" ht="15.95" customHeight="1">
      <c r="A12" s="199"/>
      <c r="B12" s="52"/>
      <c r="C12" s="198"/>
      <c r="D12" s="54"/>
      <c r="E12" s="188"/>
      <c r="F12" s="55"/>
    </row>
    <row r="13" spans="1:6" ht="15.95" customHeight="1">
      <c r="A13" s="199" t="str">
        <f>VLOOKUP(Tabel_Totaal_werkzaamheden[[#This Row],[OMSCHRIJVING]],Blad1!A:C,3,FALSE)</f>
        <v>2.4.15</v>
      </c>
      <c r="B13" s="56" t="s">
        <v>42</v>
      </c>
      <c r="C13" s="198"/>
      <c r="D13" s="58"/>
      <c r="E13" s="189"/>
      <c r="F13" s="59"/>
    </row>
    <row r="14" spans="1:6" ht="15.95" customHeight="1">
      <c r="A14" s="199"/>
      <c r="B14" s="60" t="s">
        <v>226</v>
      </c>
      <c r="C14" s="198" t="s">
        <v>18</v>
      </c>
      <c r="D14" s="54">
        <v>1</v>
      </c>
      <c r="E14" s="188"/>
      <c r="F14" s="55"/>
    </row>
    <row r="15" spans="1:6" ht="15.95" customHeight="1">
      <c r="A15" s="199"/>
      <c r="B15" s="60"/>
      <c r="C15" s="198"/>
      <c r="D15" s="54"/>
      <c r="E15" s="188"/>
      <c r="F15" s="55"/>
    </row>
    <row r="16" spans="1:6" ht="15.95" customHeight="1">
      <c r="A16" s="199" t="str">
        <f>VLOOKUP(Tabel_Totaal_werkzaamheden[[#This Row],[OMSCHRIJVING]],Blad1!A:C,3,FALSE)</f>
        <v>2.4.17</v>
      </c>
      <c r="B16" s="56" t="s">
        <v>43</v>
      </c>
      <c r="C16" s="198"/>
      <c r="D16" s="54"/>
      <c r="E16" s="188"/>
      <c r="F16" s="55"/>
    </row>
    <row r="17" spans="1:6" ht="15.95" customHeight="1">
      <c r="A17" s="199"/>
      <c r="B17" s="60" t="s">
        <v>35</v>
      </c>
      <c r="C17" s="198" t="s">
        <v>18</v>
      </c>
      <c r="D17" s="54">
        <v>1</v>
      </c>
      <c r="E17" s="188"/>
      <c r="F17" s="55"/>
    </row>
    <row r="18" spans="1:6" ht="15.95" customHeight="1">
      <c r="A18" s="199"/>
      <c r="B18" s="62"/>
      <c r="C18" s="198"/>
      <c r="D18" s="64"/>
      <c r="E18" s="190"/>
      <c r="F18" s="65"/>
    </row>
    <row r="19" spans="1:6" ht="15.95" customHeight="1">
      <c r="A19" s="199" t="str">
        <f>VLOOKUP(Tabel_Totaal_werkzaamheden[[#This Row],[OMSCHRIJVING]],Blad1!A:C,3,FALSE)</f>
        <v>2.4.18</v>
      </c>
      <c r="B19" s="56" t="s">
        <v>182</v>
      </c>
      <c r="C19" s="198"/>
      <c r="D19" s="54"/>
      <c r="E19" s="188"/>
      <c r="F19" s="55"/>
    </row>
    <row r="20" spans="1:6" ht="15.95" customHeight="1">
      <c r="A20" s="199"/>
      <c r="B20" s="60" t="s">
        <v>233</v>
      </c>
      <c r="C20" s="198" t="s">
        <v>18</v>
      </c>
      <c r="D20" s="54">
        <v>1</v>
      </c>
      <c r="E20" s="188"/>
      <c r="F20" s="55"/>
    </row>
    <row r="21" spans="1:6" ht="15.95" customHeight="1">
      <c r="A21" s="199"/>
      <c r="B21" s="62"/>
      <c r="C21" s="198"/>
      <c r="D21" s="64"/>
      <c r="E21" s="190"/>
      <c r="F21" s="65"/>
    </row>
    <row r="22" spans="1:6" ht="15.95" customHeight="1">
      <c r="A22" s="199" t="str">
        <f>VLOOKUP(Tabel_Totaal_werkzaamheden[[#This Row],[OMSCHRIJVING]],Blad1!A:C,3,FALSE)</f>
        <v>2.4.21</v>
      </c>
      <c r="B22" s="56" t="s">
        <v>29</v>
      </c>
      <c r="C22" s="198"/>
      <c r="D22" s="54"/>
      <c r="E22" s="188"/>
      <c r="F22" s="55"/>
    </row>
    <row r="23" spans="1:6" ht="15.95" customHeight="1">
      <c r="A23" s="199"/>
      <c r="B23" s="60" t="s">
        <v>17</v>
      </c>
      <c r="C23" s="198" t="s">
        <v>18</v>
      </c>
      <c r="D23" s="54">
        <v>1</v>
      </c>
      <c r="E23" s="188"/>
      <c r="F23" s="55"/>
    </row>
    <row r="24" spans="1:6" ht="15.95" customHeight="1">
      <c r="A24" s="199"/>
      <c r="B24" s="60"/>
      <c r="C24" s="198"/>
      <c r="D24" s="54"/>
      <c r="E24" s="188"/>
      <c r="F24" s="55"/>
    </row>
    <row r="25" spans="1:6" ht="15.95" customHeight="1">
      <c r="A25" s="199" t="str">
        <f>VLOOKUP(Tabel_Totaal_werkzaamheden[[#This Row],[OMSCHRIJVING]],Blad1!A:C,3,FALSE)</f>
        <v>2.4.22</v>
      </c>
      <c r="B25" s="56" t="s">
        <v>159</v>
      </c>
      <c r="C25" s="198"/>
      <c r="D25" s="54"/>
      <c r="E25" s="188"/>
      <c r="F25" s="55"/>
    </row>
    <row r="26" spans="1:6" ht="15.95" customHeight="1">
      <c r="A26" s="199"/>
      <c r="B26" s="60" t="s">
        <v>36</v>
      </c>
      <c r="C26" s="198" t="s">
        <v>18</v>
      </c>
      <c r="D26" s="54">
        <v>1</v>
      </c>
      <c r="E26" s="188"/>
      <c r="F26" s="55"/>
    </row>
    <row r="27" spans="1:6" ht="15.95" customHeight="1">
      <c r="A27" s="199"/>
      <c r="B27" s="52" t="s">
        <v>19</v>
      </c>
      <c r="C27" s="198" t="s">
        <v>18</v>
      </c>
      <c r="D27" s="54">
        <v>1</v>
      </c>
      <c r="E27" s="188"/>
      <c r="F27" s="55"/>
    </row>
    <row r="28" spans="1:6" ht="15.95" customHeight="1">
      <c r="A28" s="199"/>
      <c r="B28" s="52"/>
      <c r="C28" s="198"/>
      <c r="D28" s="54"/>
      <c r="E28" s="188"/>
      <c r="F28" s="55"/>
    </row>
    <row r="29" spans="1:6" ht="15.95" customHeight="1">
      <c r="A29" s="199" t="str">
        <f>VLOOKUP(Tabel_Totaal_werkzaamheden[[#This Row],[OMSCHRIJVING]],Blad1!A:C,3,FALSE)</f>
        <v>2.4.23</v>
      </c>
      <c r="B29" s="56" t="s">
        <v>160</v>
      </c>
      <c r="C29" s="198"/>
      <c r="D29" s="54"/>
      <c r="E29" s="188"/>
      <c r="F29" s="55"/>
    </row>
    <row r="30" spans="1:6" ht="15.95" customHeight="1">
      <c r="A30" s="199"/>
      <c r="B30" s="60" t="s">
        <v>37</v>
      </c>
      <c r="C30" s="198" t="s">
        <v>18</v>
      </c>
      <c r="D30" s="54">
        <v>1</v>
      </c>
      <c r="E30" s="188"/>
      <c r="F30" s="55"/>
    </row>
    <row r="31" spans="1:6" ht="15.95" customHeight="1">
      <c r="A31" s="199"/>
      <c r="B31" s="52"/>
      <c r="C31" s="198"/>
      <c r="D31" s="54"/>
      <c r="E31" s="188"/>
      <c r="F31" s="55"/>
    </row>
    <row r="32" spans="1:6" ht="15.95" customHeight="1">
      <c r="A32" s="199" t="str">
        <f>VLOOKUP(Tabel_Totaal_werkzaamheden[[#This Row],[OMSCHRIJVING]],Blad1!A:C,3,FALSE)</f>
        <v>2.4.30</v>
      </c>
      <c r="B32" s="15" t="s">
        <v>394</v>
      </c>
      <c r="C32" s="198"/>
      <c r="D32" s="54"/>
      <c r="E32" s="188"/>
      <c r="F32" s="55"/>
    </row>
    <row r="33" spans="1:10" ht="15.95" customHeight="1">
      <c r="A33" s="199"/>
      <c r="B33" s="52" t="s">
        <v>229</v>
      </c>
      <c r="C33" s="198" t="s">
        <v>18</v>
      </c>
      <c r="D33" s="54">
        <v>1</v>
      </c>
      <c r="E33" s="188"/>
      <c r="F33" s="55"/>
    </row>
    <row r="34" spans="1:10" ht="15.95" customHeight="1">
      <c r="A34" s="199"/>
      <c r="B34" s="52" t="s">
        <v>20</v>
      </c>
      <c r="C34" s="198" t="s">
        <v>18</v>
      </c>
      <c r="D34" s="54">
        <v>1</v>
      </c>
      <c r="E34" s="188"/>
      <c r="F34" s="55"/>
    </row>
    <row r="35" spans="1:10" ht="15.95" customHeight="1">
      <c r="A35" s="199"/>
      <c r="B35" s="52"/>
      <c r="C35" s="198"/>
      <c r="D35" s="54"/>
      <c r="E35" s="188"/>
      <c r="F35" s="55"/>
    </row>
    <row r="36" spans="1:10" ht="15.95" customHeight="1">
      <c r="A36" s="199" t="str">
        <f>VLOOKUP(Tabel_Totaal_werkzaamheden[[#This Row],[OMSCHRIJVING]],Blad1!A:C,3,FALSE)</f>
        <v>2.4.31</v>
      </c>
      <c r="B36" s="56" t="s">
        <v>396</v>
      </c>
      <c r="C36" s="198"/>
      <c r="D36" s="54"/>
      <c r="E36" s="188"/>
      <c r="F36" s="55"/>
    </row>
    <row r="37" spans="1:10" ht="15.95" customHeight="1">
      <c r="A37" s="199"/>
      <c r="B37" s="52" t="s">
        <v>21</v>
      </c>
      <c r="C37" s="198" t="s">
        <v>18</v>
      </c>
      <c r="D37" s="54">
        <v>1</v>
      </c>
      <c r="E37" s="188"/>
      <c r="F37" s="55"/>
    </row>
    <row r="38" spans="1:10" ht="15.95" customHeight="1">
      <c r="A38" s="199"/>
      <c r="B38" s="52"/>
      <c r="C38" s="198"/>
      <c r="D38" s="54"/>
      <c r="E38" s="188"/>
      <c r="F38" s="55"/>
    </row>
    <row r="39" spans="1:10" ht="15.95" customHeight="1">
      <c r="A39" s="199" t="str">
        <f>VLOOKUP(Tabel_Totaal_werkzaamheden[[#This Row],[OMSCHRIJVING]],Blad1!A:C,3,FALSE)</f>
        <v>2.4.34</v>
      </c>
      <c r="B39" s="15" t="s">
        <v>161</v>
      </c>
      <c r="C39" s="198"/>
      <c r="D39" s="54"/>
      <c r="E39" s="188"/>
      <c r="F39" s="55"/>
    </row>
    <row r="40" spans="1:10" ht="15.95" customHeight="1">
      <c r="A40" s="199"/>
      <c r="B40" s="60" t="s">
        <v>39</v>
      </c>
      <c r="C40" s="198" t="s">
        <v>18</v>
      </c>
      <c r="D40" s="54">
        <v>1</v>
      </c>
      <c r="E40" s="188"/>
      <c r="F40" s="55"/>
      <c r="G40" s="67"/>
    </row>
    <row r="41" spans="1:10" ht="15.95" customHeight="1">
      <c r="A41" s="199"/>
      <c r="B41" s="68"/>
      <c r="C41" s="198"/>
      <c r="D41" s="54"/>
      <c r="E41" s="188"/>
      <c r="F41" s="55"/>
    </row>
    <row r="42" spans="1:10" ht="15.95" customHeight="1">
      <c r="A42" s="199" t="str">
        <f>VLOOKUP(Tabel_Totaal_werkzaamheden[[#This Row],[OMSCHRIJVING]],Blad1!A:C,3,FALSE)</f>
        <v>2.5.3</v>
      </c>
      <c r="B42" s="15" t="s">
        <v>227</v>
      </c>
      <c r="C42" s="198"/>
      <c r="D42" s="54"/>
      <c r="E42" s="188"/>
      <c r="F42" s="55"/>
    </row>
    <row r="43" spans="1:10" ht="15.95" customHeight="1">
      <c r="A43" s="199"/>
      <c r="B43" s="68" t="s">
        <v>38</v>
      </c>
      <c r="C43" s="198" t="s">
        <v>18</v>
      </c>
      <c r="D43" s="54">
        <v>1</v>
      </c>
      <c r="E43" s="188"/>
      <c r="F43" s="55"/>
      <c r="J43" s="69"/>
    </row>
    <row r="44" spans="1:10" ht="15.95" customHeight="1">
      <c r="A44" s="199"/>
      <c r="B44" s="52"/>
      <c r="C44" s="198"/>
      <c r="D44" s="54"/>
      <c r="E44" s="188"/>
      <c r="F44" s="55"/>
    </row>
    <row r="45" spans="1:10" ht="15.95" customHeight="1">
      <c r="A45" s="199" t="str">
        <f>VLOOKUP(Tabel_Totaal_werkzaamheden[[#This Row],[OMSCHRIJVING]],Blad1!A:C,3,FALSE)</f>
        <v>3.1</v>
      </c>
      <c r="B45" s="15" t="s">
        <v>180</v>
      </c>
      <c r="C45" s="198"/>
      <c r="D45" s="54"/>
      <c r="E45" s="188"/>
      <c r="F45" s="55"/>
    </row>
    <row r="46" spans="1:10" ht="15.95" customHeight="1">
      <c r="A46" s="199"/>
      <c r="B46" s="60" t="s">
        <v>234</v>
      </c>
      <c r="C46" s="198" t="s">
        <v>18</v>
      </c>
      <c r="D46" s="54">
        <v>1</v>
      </c>
      <c r="E46" s="188"/>
      <c r="F46" s="55"/>
    </row>
    <row r="47" spans="1:10" ht="15.95" customHeight="1">
      <c r="A47" s="199"/>
      <c r="B47" s="60" t="s">
        <v>166</v>
      </c>
      <c r="C47" s="198" t="s">
        <v>18</v>
      </c>
      <c r="D47" s="54">
        <v>1</v>
      </c>
      <c r="E47" s="188"/>
      <c r="F47" s="55"/>
    </row>
    <row r="48" spans="1:10" ht="15.95" customHeight="1">
      <c r="A48" s="199"/>
      <c r="B48" s="52"/>
      <c r="C48" s="198"/>
      <c r="D48" s="54"/>
      <c r="E48" s="188"/>
      <c r="F48" s="55"/>
    </row>
    <row r="49" spans="1:10" ht="15.95" customHeight="1">
      <c r="A49" s="199" t="str">
        <f>VLOOKUP(Tabel_Totaal_werkzaamheden[[#This Row],[OMSCHRIJVING]],Blad1!A:C,3,FALSE)</f>
        <v>3.3</v>
      </c>
      <c r="B49" s="15" t="s">
        <v>457</v>
      </c>
      <c r="C49" s="198"/>
      <c r="D49" s="54"/>
      <c r="E49" s="188"/>
      <c r="F49" s="55"/>
    </row>
    <row r="50" spans="1:10" ht="15.95" customHeight="1">
      <c r="A50" s="199"/>
      <c r="B50" s="52" t="s">
        <v>228</v>
      </c>
      <c r="C50" s="198" t="s">
        <v>18</v>
      </c>
      <c r="D50" s="54">
        <v>1</v>
      </c>
      <c r="E50" s="188"/>
      <c r="F50" s="55"/>
    </row>
    <row r="51" spans="1:10" ht="15.95" customHeight="1">
      <c r="A51" s="199"/>
      <c r="B51" s="52" t="s">
        <v>236</v>
      </c>
      <c r="C51" s="198" t="s">
        <v>26</v>
      </c>
      <c r="D51" s="54">
        <v>15</v>
      </c>
      <c r="E51" s="188"/>
      <c r="F51" s="55"/>
      <c r="I51" s="21"/>
    </row>
    <row r="52" spans="1:10" ht="15.95" customHeight="1">
      <c r="A52" s="199"/>
      <c r="B52" s="60"/>
      <c r="C52" s="198"/>
      <c r="D52" s="54"/>
      <c r="E52" s="188"/>
      <c r="F52" s="55"/>
    </row>
    <row r="53" spans="1:10" ht="15.95" customHeight="1">
      <c r="A53" s="199" t="str">
        <f>VLOOKUP(Tabel_Totaal_werkzaamheden[[#This Row],[OMSCHRIJVING]],Blad1!A:C,3,FALSE)</f>
        <v>3.4</v>
      </c>
      <c r="B53" s="257" t="s">
        <v>543</v>
      </c>
      <c r="C53" s="198"/>
      <c r="D53" s="54"/>
      <c r="E53" s="188"/>
      <c r="F53" s="55"/>
    </row>
    <row r="54" spans="1:10" ht="15.95" customHeight="1">
      <c r="A54" s="199"/>
      <c r="B54" s="60" t="s">
        <v>545</v>
      </c>
      <c r="C54" s="198" t="s">
        <v>26</v>
      </c>
      <c r="D54" s="54">
        <v>30</v>
      </c>
      <c r="E54" s="188"/>
      <c r="F54" s="55"/>
    </row>
    <row r="55" spans="1:10" ht="15.95" customHeight="1">
      <c r="A55" s="199"/>
      <c r="B55" s="52"/>
      <c r="C55" s="198"/>
      <c r="D55" s="54"/>
      <c r="E55" s="188"/>
      <c r="F55" s="55"/>
    </row>
    <row r="56" spans="1:10" ht="15.95" customHeight="1">
      <c r="A56" s="199" t="str">
        <f>VLOOKUP(Tabel_Totaal_werkzaamheden[[#This Row],[OMSCHRIJVING]],Blad1!A:C,3,FALSE)</f>
        <v>3.5</v>
      </c>
      <c r="B56" s="70" t="s">
        <v>169</v>
      </c>
      <c r="C56" s="198"/>
      <c r="D56" s="54"/>
      <c r="E56" s="188"/>
      <c r="F56" s="55"/>
    </row>
    <row r="57" spans="1:10" ht="15.95" customHeight="1">
      <c r="A57" s="199"/>
      <c r="B57" s="19" t="s">
        <v>179</v>
      </c>
      <c r="C57" s="198" t="s">
        <v>18</v>
      </c>
      <c r="D57" s="54">
        <v>1</v>
      </c>
      <c r="E57" s="188"/>
      <c r="F57" s="55"/>
    </row>
    <row r="58" spans="1:10" ht="15.95" customHeight="1">
      <c r="A58" s="199"/>
      <c r="B58" s="19" t="s">
        <v>170</v>
      </c>
      <c r="C58" s="198" t="s">
        <v>18</v>
      </c>
      <c r="D58" s="54">
        <v>1</v>
      </c>
      <c r="E58" s="188"/>
      <c r="F58" s="55"/>
    </row>
    <row r="59" spans="1:10" ht="15.95" customHeight="1">
      <c r="A59" s="199"/>
      <c r="B59" s="19" t="s">
        <v>178</v>
      </c>
      <c r="C59" s="198" t="s">
        <v>24</v>
      </c>
      <c r="D59" s="54">
        <v>30</v>
      </c>
      <c r="E59" s="188"/>
      <c r="F59" s="55"/>
      <c r="I59" s="71"/>
      <c r="J59" s="71"/>
    </row>
    <row r="60" spans="1:10" ht="15.95" customHeight="1">
      <c r="A60" s="199"/>
      <c r="B60" s="52"/>
      <c r="C60" s="198"/>
      <c r="D60" s="54"/>
      <c r="E60" s="188"/>
      <c r="F60" s="55"/>
    </row>
    <row r="61" spans="1:10" ht="15.95" customHeight="1">
      <c r="A61" s="199" t="str">
        <f>VLOOKUP(Tabel_Totaal_werkzaamheden[[#This Row],[OMSCHRIJVING]],Blad1!A:C,3,FALSE)</f>
        <v>3.6</v>
      </c>
      <c r="B61" s="15" t="s">
        <v>472</v>
      </c>
      <c r="C61" s="198"/>
      <c r="D61" s="54"/>
      <c r="E61" s="188"/>
      <c r="F61" s="55"/>
    </row>
    <row r="62" spans="1:10" ht="15.95" customHeight="1">
      <c r="A62" s="199"/>
      <c r="B62" s="52" t="s">
        <v>186</v>
      </c>
      <c r="C62" s="198" t="s">
        <v>18</v>
      </c>
      <c r="D62" s="54">
        <v>1</v>
      </c>
      <c r="E62" s="188"/>
      <c r="F62" s="55"/>
      <c r="G62" s="67"/>
    </row>
    <row r="63" spans="1:10" ht="15.95" customHeight="1">
      <c r="A63" s="199"/>
      <c r="B63" s="52" t="s">
        <v>167</v>
      </c>
      <c r="C63" s="198" t="s">
        <v>18</v>
      </c>
      <c r="D63" s="54">
        <v>1</v>
      </c>
      <c r="E63" s="188"/>
      <c r="F63" s="55"/>
    </row>
    <row r="64" spans="1:10" ht="15.95" customHeight="1">
      <c r="A64" s="199"/>
      <c r="B64" s="60" t="s">
        <v>172</v>
      </c>
      <c r="C64" s="198" t="s">
        <v>18</v>
      </c>
      <c r="D64" s="54">
        <v>1</v>
      </c>
      <c r="E64" s="188"/>
      <c r="F64" s="55"/>
    </row>
    <row r="65" spans="1:8" ht="15.95" customHeight="1">
      <c r="A65" s="199"/>
      <c r="B65" s="52" t="s">
        <v>23</v>
      </c>
      <c r="C65" s="198" t="s">
        <v>18</v>
      </c>
      <c r="D65" s="54">
        <v>1</v>
      </c>
      <c r="E65" s="188"/>
      <c r="F65" s="55"/>
      <c r="G65" s="67"/>
    </row>
    <row r="66" spans="1:8" ht="15.95" customHeight="1">
      <c r="A66" s="199"/>
      <c r="B66" s="52" t="s">
        <v>25</v>
      </c>
      <c r="C66" s="198" t="s">
        <v>18</v>
      </c>
      <c r="D66" s="54">
        <v>1</v>
      </c>
      <c r="E66" s="188"/>
      <c r="F66" s="55"/>
    </row>
    <row r="67" spans="1:8" ht="15.95" customHeight="1">
      <c r="A67" s="199"/>
      <c r="B67" s="52" t="s">
        <v>185</v>
      </c>
      <c r="C67" s="198" t="s">
        <v>18</v>
      </c>
      <c r="D67" s="54">
        <v>1</v>
      </c>
      <c r="E67" s="188"/>
      <c r="F67" s="55"/>
      <c r="H67" s="21"/>
    </row>
    <row r="68" spans="1:8" ht="15.95" customHeight="1">
      <c r="A68" s="199"/>
      <c r="B68" s="52" t="s">
        <v>542</v>
      </c>
      <c r="C68" s="198" t="s">
        <v>26</v>
      </c>
      <c r="D68" s="54">
        <v>30</v>
      </c>
      <c r="E68" s="188"/>
      <c r="F68" s="55"/>
    </row>
    <row r="69" spans="1:8" ht="15.95" customHeight="1">
      <c r="A69" s="199"/>
      <c r="B69" s="52" t="s">
        <v>27</v>
      </c>
      <c r="C69" s="198" t="s">
        <v>24</v>
      </c>
      <c r="D69" s="54">
        <v>30</v>
      </c>
      <c r="E69" s="188"/>
      <c r="F69" s="55"/>
    </row>
    <row r="70" spans="1:8" ht="15.95" customHeight="1">
      <c r="A70" s="199"/>
      <c r="B70" s="52" t="s">
        <v>181</v>
      </c>
      <c r="C70" s="198" t="s">
        <v>24</v>
      </c>
      <c r="D70" s="54">
        <v>8</v>
      </c>
      <c r="E70" s="188"/>
      <c r="F70" s="55"/>
    </row>
    <row r="71" spans="1:8" ht="15.95" customHeight="1">
      <c r="A71" s="199"/>
      <c r="B71" s="60" t="s">
        <v>171</v>
      </c>
      <c r="C71" s="198" t="s">
        <v>18</v>
      </c>
      <c r="D71" s="54">
        <v>1</v>
      </c>
      <c r="E71" s="188"/>
      <c r="F71" s="55"/>
    </row>
    <row r="72" spans="1:8" ht="15.95" customHeight="1">
      <c r="A72" s="199"/>
      <c r="B72" s="52"/>
      <c r="C72" s="198"/>
      <c r="D72" s="54"/>
      <c r="E72" s="188"/>
      <c r="F72" s="55"/>
    </row>
    <row r="73" spans="1:8" ht="15.95" customHeight="1">
      <c r="A73" s="199" t="str">
        <f>VLOOKUP(Tabel_Totaal_werkzaamheden[[#This Row],[OMSCHRIJVING]],Blad1!A:C,3,FALSE)</f>
        <v>3.7</v>
      </c>
      <c r="B73" s="70" t="s">
        <v>174</v>
      </c>
      <c r="C73" s="198"/>
      <c r="D73" s="54"/>
      <c r="E73" s="188"/>
      <c r="F73" s="55"/>
    </row>
    <row r="74" spans="1:8" s="164" customFormat="1" ht="25.5">
      <c r="A74" s="225"/>
      <c r="B74" s="164" t="s">
        <v>340</v>
      </c>
      <c r="C74" s="226" t="s">
        <v>26</v>
      </c>
      <c r="D74" s="156">
        <v>15</v>
      </c>
      <c r="E74" s="193"/>
      <c r="F74" s="157"/>
      <c r="G74" s="163"/>
    </row>
    <row r="75" spans="1:8" ht="15.95" customHeight="1">
      <c r="A75" s="199"/>
      <c r="B75" s="52"/>
      <c r="C75" s="198"/>
      <c r="D75" s="54"/>
      <c r="E75" s="188"/>
      <c r="F75" s="55"/>
    </row>
    <row r="76" spans="1:8" ht="15.95" customHeight="1">
      <c r="A76" s="199" t="str">
        <f>VLOOKUP(Tabel_Totaal_werkzaamheden[[#This Row],[OMSCHRIJVING]],Blad1!A:C,3,FALSE)</f>
        <v>3.8</v>
      </c>
      <c r="B76" s="72" t="s">
        <v>231</v>
      </c>
      <c r="C76" s="198"/>
      <c r="D76" s="54"/>
      <c r="E76" s="188"/>
      <c r="F76" s="55"/>
    </row>
    <row r="77" spans="1:8" ht="15.95" customHeight="1">
      <c r="A77" s="199"/>
      <c r="B77" s="74" t="s">
        <v>28</v>
      </c>
      <c r="C77" s="198" t="s">
        <v>18</v>
      </c>
      <c r="D77" s="54">
        <v>1</v>
      </c>
      <c r="E77" s="188"/>
      <c r="F77" s="55"/>
    </row>
    <row r="78" spans="1:8" ht="15.95" customHeight="1">
      <c r="A78" s="199"/>
      <c r="B78" s="52"/>
      <c r="C78" s="198"/>
      <c r="D78" s="54"/>
      <c r="E78" s="188"/>
      <c r="F78" s="55"/>
    </row>
    <row r="79" spans="1:8" ht="15.95" customHeight="1">
      <c r="A79" s="199" t="str">
        <f>VLOOKUP(Tabel_Totaal_werkzaamheden[[#This Row],[OMSCHRIJVING]],Blad1!A:C,3,FALSE)</f>
        <v>3.10</v>
      </c>
      <c r="B79" s="15" t="s">
        <v>499</v>
      </c>
      <c r="C79" s="198"/>
      <c r="D79" s="54"/>
      <c r="E79" s="188"/>
      <c r="F79" s="55"/>
    </row>
    <row r="80" spans="1:8" ht="15.95" customHeight="1">
      <c r="A80" s="199"/>
      <c r="B80" s="52" t="s">
        <v>230</v>
      </c>
      <c r="C80" s="198" t="s">
        <v>18</v>
      </c>
      <c r="D80" s="54">
        <v>1</v>
      </c>
      <c r="E80" s="188"/>
      <c r="F80" s="55"/>
    </row>
    <row r="81" spans="1:6" ht="15.95" customHeight="1" thickBot="1">
      <c r="A81" s="199" t="str">
        <f>IF(Tabel_Totaal_werkzaamheden[[#This Row],[OMSCHRIJVING]]="","",_xlfn.XLOOKUP(Tabel_Totaal_werkzaamheden[[#This Row],[OMSCHRIJVING]],Verwijzingsblad!$B$2:$B$186,Verwijzingsblad!$A$2:$A$186,""))</f>
        <v/>
      </c>
      <c r="B81" s="52"/>
      <c r="C81" s="198"/>
      <c r="D81" s="54"/>
      <c r="E81" s="188"/>
      <c r="F81" s="55"/>
    </row>
    <row r="82" spans="1:6" ht="15.95" customHeight="1" thickTop="1">
      <c r="A82" s="230" t="s">
        <v>155</v>
      </c>
      <c r="B82" s="231"/>
      <c r="C82" s="232"/>
      <c r="D82" s="233" t="str">
        <f>B3</f>
        <v>Brug 1 Sikkelvoorde</v>
      </c>
      <c r="E82" s="234" t="str">
        <f>A3</f>
        <v>AKK-07</v>
      </c>
      <c r="F82" s="235">
        <f>SUBTOTAL(109,Tabel_Totaal_werkzaamheden[TOTAALBEDRAG IN EURO])</f>
        <v>0</v>
      </c>
    </row>
    <row r="83" spans="1:6" ht="15.95" customHeight="1">
      <c r="E83" s="192"/>
    </row>
    <row r="84" spans="1:6" ht="15.95" customHeight="1">
      <c r="E84" s="192"/>
    </row>
    <row r="85" spans="1:6" ht="15.95" customHeight="1">
      <c r="E85" s="192"/>
    </row>
    <row r="86" spans="1:6" ht="15.95" customHeight="1">
      <c r="E86" s="192"/>
    </row>
    <row r="87" spans="1:6" ht="15.95" customHeight="1">
      <c r="E87" s="192"/>
    </row>
    <row r="88" spans="1:6" ht="15.95" customHeight="1">
      <c r="E88" s="192"/>
    </row>
    <row r="89" spans="1:6" ht="15.95" customHeight="1">
      <c r="E89" s="192"/>
    </row>
    <row r="90" spans="1:6" ht="15.95" customHeight="1">
      <c r="E90" s="192"/>
    </row>
    <row r="91" spans="1:6" ht="15.95" customHeight="1">
      <c r="E91" s="192"/>
    </row>
    <row r="92" spans="1:6" ht="15.95" customHeight="1">
      <c r="E92" s="192"/>
    </row>
    <row r="93" spans="1:6" ht="15.95" customHeight="1">
      <c r="E93" s="192"/>
    </row>
    <row r="94" spans="1:6" ht="15.95" customHeight="1">
      <c r="E94" s="192"/>
    </row>
  </sheetData>
  <dataConsolidate/>
  <mergeCells count="2">
    <mergeCell ref="A1:F1"/>
    <mergeCell ref="A2:F2"/>
  </mergeCells>
  <phoneticPr fontId="17" type="noConversion"/>
  <conditionalFormatting sqref="A8 A10:A12 A14:A15 A17:A18 A20:A21 A23:A24 A26:A28 A30:A31 A33:A35 A37:A38 A40:A41 A43:A44 A46:A48 A50:A52 A54:A55 A57:A60 A74:A75 A77:A78 A80:A81 A62:A72">
    <cfRule type="expression" dxfId="984" priority="10">
      <formula>$C8="-"</formula>
    </cfRule>
    <cfRule type="expression" dxfId="983" priority="11">
      <formula>$A8=0</formula>
    </cfRule>
    <cfRule type="expression" dxfId="982" priority="12">
      <formula>$A8&gt;0</formula>
    </cfRule>
  </conditionalFormatting>
  <conditionalFormatting sqref="A9">
    <cfRule type="expression" dxfId="981" priority="7">
      <formula>$C9="-"</formula>
    </cfRule>
    <cfRule type="expression" dxfId="980" priority="8">
      <formula>$A9=0</formula>
    </cfRule>
    <cfRule type="expression" dxfId="979" priority="9">
      <formula>$A9&gt;0</formula>
    </cfRule>
  </conditionalFormatting>
  <conditionalFormatting sqref="A79 A76 A73 A61 A56 A53 A49 A45 A42 A39 A36 A32 A29 A25 A22 A19 A16 A13">
    <cfRule type="expression" dxfId="978" priority="1">
      <formula>$C13="-"</formula>
    </cfRule>
    <cfRule type="expression" dxfId="977" priority="2">
      <formula>$A13=0</formula>
    </cfRule>
    <cfRule type="expression" dxfId="976" priority="3">
      <formula>$A13&gt;0</formula>
    </cfRule>
  </conditionalFormatting>
  <dataValidations disablePrompts="1" count="1">
    <dataValidation type="list" allowBlank="1" sqref="C8:C81">
      <formula1>"EUR,m³,m²,m¹,st"</formula1>
    </dataValidation>
  </dataValidations>
  <pageMargins left="0.59055118110236227" right="0.51181102362204722" top="1.4173228346456694" bottom="1.3779527559055118" header="0.31496062992125984" footer="0.31496062992125984"/>
  <pageSetup paperSize="9" scale="61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ignoredErrors>
    <ignoredError sqref="A8:A9" calculatedColumn="1"/>
  </ignoredErrors>
  <legacyDrawingHF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2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96</v>
      </c>
      <c r="B3" s="23" t="s">
        <v>97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152" t="s">
        <v>260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12</v>
      </c>
      <c r="E5" s="152" t="s">
        <v>259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IF(Tabel_Totaal_werkzaamheden254[[#This Row],[OMSCHRIJVING]]="","",_xlfn.XLOOKUP(Tabel_Totaal_werkzaamheden254[[#This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VLOOKUP(Tabel_Totaal_werkzaamheden254[[#This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VLOOKUP(Tabel_Totaal_werkzaamheden254[[#This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VLOOKUP(Tabel_Totaal_werkzaamheden254[[#This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2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VLOOKUP(Tabel_Totaal_werkzaamheden254[[#This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4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VLOOKUP(Tabel_Totaal_werkzaamheden254[[#This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2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4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4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VLOOKUP(Tabel_Totaal_werkzaamheden254[[#This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4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VLOOKUP(Tabel_Totaal_werkzaamheden254[[#This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4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4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4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VLOOKUP(Tabel_Totaal_werkzaamheden254[[#This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4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VLOOKUP(Tabel_Totaal_werkzaamheden254[[#This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4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4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VLOOKUP(Tabel_Totaal_werkzaamheden254[[#This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4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4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VLOOKUP(Tabel_Totaal_werkzaamheden254[[#This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4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4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4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VLOOKUP(Tabel_Totaal_werkzaamheden254[[#This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4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 t="s">
        <v>238</v>
      </c>
      <c r="C48" s="66" t="s">
        <v>26</v>
      </c>
      <c r="D48" s="54">
        <v>31</v>
      </c>
      <c r="E48" s="188"/>
      <c r="F48" s="55"/>
      <c r="I48" s="21"/>
    </row>
    <row r="49" spans="1:10" ht="15.95" customHeight="1">
      <c r="A49" s="14"/>
      <c r="B49" s="52"/>
      <c r="C49" s="66"/>
      <c r="D49" s="54"/>
      <c r="E49" s="188"/>
      <c r="F49" s="55"/>
    </row>
    <row r="50" spans="1:10" ht="15.95" customHeight="1">
      <c r="A50" s="1" t="str">
        <f>VLOOKUP(Tabel_Totaal_werkzaamheden254[[#This Row],[OMSCHRIJVING]],Blad1!A:C,3,FALSE)</f>
        <v>3.4</v>
      </c>
      <c r="B50" s="70" t="s">
        <v>543</v>
      </c>
      <c r="C50" s="66"/>
      <c r="D50" s="54"/>
      <c r="E50" s="188"/>
      <c r="F50" s="55"/>
    </row>
    <row r="51" spans="1:10" ht="15.95" customHeight="1">
      <c r="A51" s="14"/>
      <c r="B51" s="60" t="s">
        <v>545</v>
      </c>
      <c r="C51" s="66" t="s">
        <v>26</v>
      </c>
      <c r="D51" s="54">
        <v>36</v>
      </c>
      <c r="E51" s="188"/>
      <c r="F51" s="55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VLOOKUP(Tabel_Totaal_werkzaamheden254[[#This Row],[OMSCHRIJVING]],Blad1!A:C,3,FALSE)</f>
        <v>3.5</v>
      </c>
      <c r="B53" s="70" t="s">
        <v>169</v>
      </c>
      <c r="C53" s="66"/>
      <c r="D53" s="54"/>
      <c r="E53" s="188"/>
      <c r="F53" s="55"/>
    </row>
    <row r="54" spans="1:10" ht="15.95" customHeight="1">
      <c r="A54" s="14"/>
      <c r="B54" s="19" t="s">
        <v>179</v>
      </c>
      <c r="C54" s="66" t="s">
        <v>18</v>
      </c>
      <c r="D54" s="54">
        <v>1</v>
      </c>
      <c r="E54" s="188"/>
      <c r="F54" s="55"/>
    </row>
    <row r="55" spans="1:10" ht="15.95" customHeight="1">
      <c r="A55" s="14"/>
      <c r="B55" s="19" t="s">
        <v>170</v>
      </c>
      <c r="C55" s="66" t="s">
        <v>18</v>
      </c>
      <c r="D55" s="54">
        <v>1</v>
      </c>
      <c r="E55" s="188"/>
      <c r="F55" s="55"/>
    </row>
    <row r="56" spans="1:10" ht="15.95" customHeight="1">
      <c r="A56" s="14"/>
      <c r="B56" s="19" t="s">
        <v>178</v>
      </c>
      <c r="C56" s="66" t="s">
        <v>24</v>
      </c>
      <c r="D56" s="54">
        <v>24</v>
      </c>
      <c r="E56" s="188"/>
      <c r="F56" s="55"/>
      <c r="I56" s="71"/>
      <c r="J56" s="71"/>
    </row>
    <row r="57" spans="1:10" ht="15.95" customHeight="1">
      <c r="A57" s="14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VLOOKUP(Tabel_Totaal_werkzaamheden254[[#This Row],[OMSCHRIJVING]],Blad1!A:C,3,FALSE)</f>
        <v>3.6</v>
      </c>
      <c r="B58" s="15" t="s">
        <v>472</v>
      </c>
      <c r="C58" s="66"/>
      <c r="D58" s="54"/>
      <c r="E58" s="188"/>
      <c r="F58" s="55"/>
    </row>
    <row r="59" spans="1:10" ht="15.95" customHeight="1">
      <c r="A59" s="14"/>
      <c r="B59" s="52" t="s">
        <v>186</v>
      </c>
      <c r="C59" s="66" t="s">
        <v>18</v>
      </c>
      <c r="D59" s="54">
        <v>1</v>
      </c>
      <c r="E59" s="188"/>
      <c r="F59" s="55"/>
      <c r="G59" s="67"/>
    </row>
    <row r="60" spans="1:10" ht="15.95" customHeight="1">
      <c r="A60" s="14"/>
      <c r="B60" s="52" t="s">
        <v>167</v>
      </c>
      <c r="C60" s="66" t="s">
        <v>18</v>
      </c>
      <c r="D60" s="54">
        <v>1</v>
      </c>
      <c r="E60" s="188"/>
      <c r="F60" s="55"/>
    </row>
    <row r="61" spans="1:10" ht="15.95" customHeight="1">
      <c r="A61" s="14"/>
      <c r="B61" s="60" t="s">
        <v>172</v>
      </c>
      <c r="C61" s="66" t="s">
        <v>18</v>
      </c>
      <c r="D61" s="54">
        <v>1</v>
      </c>
      <c r="E61" s="188"/>
      <c r="F61" s="55"/>
    </row>
    <row r="62" spans="1:10" ht="15.95" customHeight="1">
      <c r="A62" s="14"/>
      <c r="B62" s="52" t="s">
        <v>23</v>
      </c>
      <c r="C62" s="66" t="s">
        <v>18</v>
      </c>
      <c r="D62" s="54">
        <v>1</v>
      </c>
      <c r="E62" s="188"/>
      <c r="F62" s="55"/>
    </row>
    <row r="63" spans="1:10" ht="15.95" customHeight="1">
      <c r="A63" s="14"/>
      <c r="B63" s="52" t="s">
        <v>25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52" t="s">
        <v>185</v>
      </c>
      <c r="C64" s="66" t="s">
        <v>18</v>
      </c>
      <c r="D64" s="54">
        <v>1</v>
      </c>
      <c r="E64" s="188"/>
      <c r="F64" s="55"/>
      <c r="H64" s="21"/>
    </row>
    <row r="65" spans="1:7" ht="15.95" customHeight="1">
      <c r="A65" s="14"/>
      <c r="B65" s="52" t="s">
        <v>547</v>
      </c>
      <c r="C65" s="66" t="s">
        <v>26</v>
      </c>
      <c r="D65" s="54">
        <v>36</v>
      </c>
      <c r="E65" s="188"/>
      <c r="F65" s="55"/>
    </row>
    <row r="66" spans="1:7" ht="15.95" customHeight="1">
      <c r="A66" s="14"/>
      <c r="B66" s="52" t="s">
        <v>27</v>
      </c>
      <c r="C66" s="66" t="s">
        <v>24</v>
      </c>
      <c r="D66" s="54">
        <v>24</v>
      </c>
      <c r="E66" s="188"/>
      <c r="F66" s="55"/>
    </row>
    <row r="67" spans="1:7" ht="15.95" customHeight="1">
      <c r="A67" s="14"/>
      <c r="B67" s="52" t="s">
        <v>181</v>
      </c>
      <c r="C67" s="66" t="s">
        <v>24</v>
      </c>
      <c r="D67" s="54">
        <v>14</v>
      </c>
      <c r="E67" s="188"/>
      <c r="F67" s="55"/>
    </row>
    <row r="68" spans="1:7" ht="15.95" customHeight="1">
      <c r="A68" s="14"/>
      <c r="B68" s="52" t="s">
        <v>171</v>
      </c>
      <c r="C68" s="66" t="s">
        <v>18</v>
      </c>
      <c r="D68" s="54">
        <v>1</v>
      </c>
      <c r="E68" s="188"/>
      <c r="F68" s="55"/>
    </row>
    <row r="69" spans="1:7" ht="15.95" customHeight="1">
      <c r="A69" s="14"/>
      <c r="B69" s="52"/>
      <c r="C69" s="66"/>
      <c r="D69" s="54"/>
      <c r="E69" s="188"/>
      <c r="F69" s="55"/>
    </row>
    <row r="70" spans="1:7" ht="15.95" customHeight="1">
      <c r="A70" s="1" t="str">
        <f>VLOOKUP(Tabel_Totaal_werkzaamheden254[[#This Row],[OMSCHRIJVING]],Blad1!A:C,3,FALSE)</f>
        <v>3.7</v>
      </c>
      <c r="B70" s="70" t="s">
        <v>174</v>
      </c>
      <c r="C70" s="66"/>
      <c r="D70" s="54"/>
      <c r="E70" s="188"/>
      <c r="F70" s="55"/>
    </row>
    <row r="71" spans="1:7" ht="15.95" customHeight="1">
      <c r="A71" s="14"/>
      <c r="B71" s="19" t="s">
        <v>342</v>
      </c>
      <c r="C71" s="66" t="s">
        <v>26</v>
      </c>
      <c r="D71" s="54">
        <v>31</v>
      </c>
      <c r="E71" s="188"/>
      <c r="F71" s="55"/>
    </row>
    <row r="72" spans="1:7" ht="15.95" customHeight="1">
      <c r="A72" s="14"/>
      <c r="B72" s="52"/>
      <c r="C72" s="66"/>
      <c r="D72" s="54"/>
      <c r="E72" s="188"/>
      <c r="F72" s="55"/>
    </row>
    <row r="73" spans="1:7" ht="15.95" customHeight="1">
      <c r="A73" s="1" t="str">
        <f>VLOOKUP(Tabel_Totaal_werkzaamheden254[[#This Row],[OMSCHRIJVING]],Blad1!A:C,3,FALSE)</f>
        <v>3.8</v>
      </c>
      <c r="B73" s="72" t="s">
        <v>231</v>
      </c>
      <c r="C73" s="73"/>
      <c r="D73" s="54"/>
      <c r="E73" s="188"/>
      <c r="F73" s="55"/>
    </row>
    <row r="74" spans="1:7" ht="15.95" customHeight="1">
      <c r="A74" s="14"/>
      <c r="B74" s="74" t="s">
        <v>28</v>
      </c>
      <c r="C74" s="73" t="s">
        <v>18</v>
      </c>
      <c r="D74" s="54">
        <v>1</v>
      </c>
      <c r="E74" s="188"/>
      <c r="F74" s="55"/>
    </row>
    <row r="75" spans="1:7" ht="15.95" customHeight="1">
      <c r="A75" s="14"/>
      <c r="B75" s="52"/>
      <c r="C75" s="66"/>
      <c r="D75" s="54"/>
      <c r="E75" s="188"/>
      <c r="F75" s="55"/>
    </row>
    <row r="76" spans="1:7" ht="15.95" customHeight="1">
      <c r="A76" s="1" t="str">
        <f>VLOOKUP(Tabel_Totaal_werkzaamheden254[[#This Row],[OMSCHRIJVING]],Blad1!A:C,3,FALSE)</f>
        <v>3.10</v>
      </c>
      <c r="B76" s="15" t="s">
        <v>499</v>
      </c>
      <c r="C76" s="66"/>
      <c r="D76" s="54"/>
      <c r="E76" s="188"/>
      <c r="F76" s="55"/>
    </row>
    <row r="77" spans="1:7" ht="15.95" customHeight="1">
      <c r="A77" s="14"/>
      <c r="B77" s="52" t="s">
        <v>230</v>
      </c>
      <c r="C77" s="66" t="s">
        <v>18</v>
      </c>
      <c r="D77" s="54">
        <v>1</v>
      </c>
      <c r="E77" s="188"/>
      <c r="F77" s="55"/>
    </row>
    <row r="78" spans="1:7" ht="15.95" customHeight="1">
      <c r="A78" s="14" t="str">
        <f>IF(Tabel_Totaal_werkzaamheden254[[#This Row],[OMSCHRIJVING]]="","",_xlfn.XLOOKUP(Tabel_Totaal_werkzaamheden254[[#This Row],[OMSCHRIJVING]],Verwijzingsblad!$B$2:$B$186,Verwijzingsblad!$A$2:$A$186,""))</f>
        <v/>
      </c>
      <c r="B78" s="52"/>
      <c r="C78" s="66"/>
      <c r="D78" s="54"/>
      <c r="E78" s="188"/>
      <c r="F78" s="55"/>
    </row>
    <row r="79" spans="1:7" ht="15.95" customHeight="1">
      <c r="A79" s="205" t="s">
        <v>155</v>
      </c>
      <c r="B79" s="206"/>
      <c r="C79" s="207"/>
      <c r="D79" s="208" t="str">
        <f>B3</f>
        <v>Brug 3 Frans Halsstraat</v>
      </c>
      <c r="E79" s="209" t="str">
        <f>A3</f>
        <v>PHO-01</v>
      </c>
      <c r="F79" s="210">
        <f>SUBTOTAL(109,Tabel_Totaal_werkzaamheden254[TOTAALBEDRAG IN EURO])</f>
        <v>0</v>
      </c>
      <c r="G79" s="75"/>
    </row>
    <row r="80" spans="1:7" ht="15.95" customHeight="1">
      <c r="A80" s="15"/>
      <c r="B80" s="52"/>
      <c r="C80" s="52"/>
      <c r="D80" s="76"/>
      <c r="E80" s="191"/>
      <c r="F80" s="77"/>
    </row>
    <row r="81" spans="1:6" ht="15.95" customHeight="1">
      <c r="A81" s="15"/>
      <c r="B81" s="52"/>
      <c r="C81" s="52"/>
      <c r="D81" s="76"/>
      <c r="E81" s="191"/>
      <c r="F81" s="77"/>
    </row>
    <row r="82" spans="1:6" ht="15.95" customHeight="1">
      <c r="A82" s="15"/>
      <c r="B82" s="52"/>
      <c r="C82" s="52"/>
      <c r="D82" s="76"/>
      <c r="E82" s="191"/>
      <c r="F82" s="77"/>
    </row>
    <row r="83" spans="1:6" ht="15.95" customHeight="1">
      <c r="A83" s="15"/>
      <c r="B83" s="52"/>
      <c r="C83" s="52"/>
      <c r="D83" s="76"/>
      <c r="E83" s="191"/>
      <c r="F83" s="77"/>
    </row>
    <row r="84" spans="1:6" ht="15.95" customHeight="1">
      <c r="A84" s="15"/>
      <c r="B84" s="52"/>
      <c r="C84" s="52"/>
      <c r="D84" s="76"/>
      <c r="E84" s="191"/>
      <c r="F84" s="77"/>
    </row>
    <row r="85" spans="1:6" ht="15.95" customHeight="1">
      <c r="A85" s="15"/>
      <c r="B85" s="52"/>
      <c r="C85" s="52"/>
      <c r="D85" s="76"/>
      <c r="E85" s="191"/>
      <c r="F85" s="77"/>
    </row>
    <row r="86" spans="1:6" ht="15.95" customHeight="1">
      <c r="A86" s="15"/>
      <c r="B86" s="52"/>
      <c r="C86" s="52"/>
      <c r="D86" s="76"/>
      <c r="E86" s="191"/>
      <c r="F86" s="77"/>
    </row>
    <row r="87" spans="1:6" ht="15.95" customHeight="1">
      <c r="A87" s="15"/>
      <c r="B87" s="52"/>
      <c r="C87" s="52"/>
      <c r="D87" s="76"/>
      <c r="E87" s="191"/>
      <c r="F87" s="77"/>
    </row>
    <row r="88" spans="1:6" ht="15.95" customHeight="1">
      <c r="A88" s="15"/>
      <c r="B88" s="52"/>
      <c r="C88" s="52"/>
      <c r="D88" s="76"/>
      <c r="E88" s="191"/>
      <c r="F88" s="77"/>
    </row>
    <row r="89" spans="1:6" ht="15.95" customHeight="1">
      <c r="E89" s="192"/>
    </row>
    <row r="90" spans="1:6" ht="15.95" customHeight="1">
      <c r="E90" s="192"/>
    </row>
    <row r="91" spans="1:6" ht="15.95" customHeight="1">
      <c r="E91" s="192"/>
    </row>
    <row r="92" spans="1:6" ht="15.95" customHeight="1">
      <c r="E92" s="192"/>
    </row>
    <row r="93" spans="1:6" ht="15.95" customHeight="1">
      <c r="E93" s="192"/>
    </row>
    <row r="94" spans="1:6" ht="15.95" customHeight="1">
      <c r="E94" s="192"/>
    </row>
    <row r="95" spans="1:6" ht="15.95" customHeight="1">
      <c r="E95" s="192"/>
    </row>
    <row r="96" spans="1:6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1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98</v>
      </c>
      <c r="B3" s="23" t="s">
        <v>99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152" t="s">
        <v>260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14</v>
      </c>
      <c r="E5" s="152" t="s">
        <v>261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IF(Tabel_Totaal_werkzaamheden253[[#This Row],[OMSCHRIJVING]]="","",_xlfn.XLOOKUP(Tabel_Totaal_werkzaamheden253[[#This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VLOOKUP(Tabel_Totaal_werkzaamheden253[[#This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VLOOKUP(Tabel_Totaal_werkzaamheden253[[#This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VLOOKUP(Tabel_Totaal_werkzaamheden253[[#This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2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VLOOKUP(Tabel_Totaal_werkzaamheden253[[#This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4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VLOOKUP(Tabel_Totaal_werkzaamheden253[[#This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4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4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VLOOKUP(Tabel_Totaal_werkzaamheden253[[#This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4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VLOOKUP(Tabel_Totaal_werkzaamheden253[[#This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4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4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4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VLOOKUP(Tabel_Totaal_werkzaamheden253[[#This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4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VLOOKUP(Tabel_Totaal_werkzaamheden253[[#This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4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4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VLOOKUP(Tabel_Totaal_werkzaamheden253[[#This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4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4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VLOOKUP(Tabel_Totaal_werkzaamheden253[[#This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4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4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4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VLOOKUP(Tabel_Totaal_werkzaamheden253[[#This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4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 t="s">
        <v>209</v>
      </c>
      <c r="C48" s="66" t="s">
        <v>26</v>
      </c>
      <c r="D48" s="54">
        <v>15</v>
      </c>
      <c r="E48" s="188"/>
      <c r="F48" s="55"/>
    </row>
    <row r="49" spans="1:10" ht="15.95" customHeight="1">
      <c r="A49" s="14"/>
      <c r="B49" s="52" t="s">
        <v>237</v>
      </c>
      <c r="C49" s="66" t="s">
        <v>26</v>
      </c>
      <c r="D49" s="54">
        <v>12</v>
      </c>
      <c r="E49" s="188"/>
      <c r="F49" s="55"/>
      <c r="I49" s="21"/>
    </row>
    <row r="50" spans="1:10" ht="15.95" customHeight="1">
      <c r="A50" s="14"/>
      <c r="B50" s="52"/>
      <c r="C50" s="66"/>
      <c r="D50" s="54"/>
      <c r="E50" s="188"/>
      <c r="F50" s="55"/>
    </row>
    <row r="51" spans="1:10" ht="15.95" customHeight="1">
      <c r="A51" s="1" t="str">
        <f>VLOOKUP(Tabel_Totaal_werkzaamheden253[[#This Row],[OMSCHRIJVING]],Blad1!A:C,3,FALSE)</f>
        <v>3.4</v>
      </c>
      <c r="B51" s="70" t="s">
        <v>543</v>
      </c>
      <c r="C51" s="66"/>
      <c r="D51" s="54"/>
      <c r="E51" s="188"/>
      <c r="F51" s="55"/>
    </row>
    <row r="52" spans="1:10" ht="15.95" customHeight="1">
      <c r="A52" s="14"/>
      <c r="B52" s="60" t="s">
        <v>545</v>
      </c>
      <c r="C52" s="66" t="s">
        <v>26</v>
      </c>
      <c r="D52" s="54">
        <v>28</v>
      </c>
      <c r="E52" s="188"/>
      <c r="F52" s="55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VLOOKUP(Tabel_Totaal_werkzaamheden253[[#This Row],[OMSCHRIJVING]],Blad1!A:C,3,FALSE)</f>
        <v>3.5</v>
      </c>
      <c r="B54" s="70" t="s">
        <v>169</v>
      </c>
      <c r="C54" s="66"/>
      <c r="D54" s="54"/>
      <c r="E54" s="188"/>
      <c r="F54" s="55"/>
    </row>
    <row r="55" spans="1:10" ht="15.95" customHeight="1">
      <c r="A55" s="14"/>
      <c r="B55" s="19" t="s">
        <v>179</v>
      </c>
      <c r="C55" s="66" t="s">
        <v>18</v>
      </c>
      <c r="D55" s="54">
        <v>1</v>
      </c>
      <c r="E55" s="188"/>
      <c r="F55" s="55"/>
    </row>
    <row r="56" spans="1:10" ht="15.95" customHeight="1">
      <c r="A56" s="14"/>
      <c r="B56" s="19" t="s">
        <v>170</v>
      </c>
      <c r="C56" s="66" t="s">
        <v>18</v>
      </c>
      <c r="D56" s="54">
        <v>1</v>
      </c>
      <c r="E56" s="188"/>
      <c r="F56" s="55"/>
    </row>
    <row r="57" spans="1:10" ht="15.95" customHeight="1">
      <c r="A57" s="14"/>
      <c r="B57" s="19" t="s">
        <v>178</v>
      </c>
      <c r="C57" s="66" t="s">
        <v>24</v>
      </c>
      <c r="D57" s="54">
        <v>28</v>
      </c>
      <c r="E57" s="188"/>
      <c r="F57" s="55"/>
      <c r="I57" s="71"/>
      <c r="J57" s="71"/>
    </row>
    <row r="58" spans="1:10" ht="15.95" customHeight="1">
      <c r="A58" s="14"/>
      <c r="B58" s="52"/>
      <c r="C58" s="66"/>
      <c r="D58" s="54"/>
      <c r="E58" s="188"/>
      <c r="F58" s="55"/>
    </row>
    <row r="59" spans="1:10" ht="15.95" customHeight="1">
      <c r="A59" s="1" t="str">
        <f>VLOOKUP(Tabel_Totaal_werkzaamheden253[[#This Row],[OMSCHRIJVING]],Blad1!A:C,3,FALSE)</f>
        <v>3.6</v>
      </c>
      <c r="B59" s="15" t="s">
        <v>472</v>
      </c>
      <c r="C59" s="66"/>
      <c r="D59" s="54"/>
      <c r="E59" s="188"/>
      <c r="F59" s="55"/>
    </row>
    <row r="60" spans="1:10" ht="15.95" customHeight="1">
      <c r="A60" s="14"/>
      <c r="B60" s="52" t="s">
        <v>186</v>
      </c>
      <c r="C60" s="66" t="s">
        <v>18</v>
      </c>
      <c r="D60" s="54">
        <v>1</v>
      </c>
      <c r="E60" s="188"/>
      <c r="F60" s="55"/>
      <c r="G60" s="67"/>
    </row>
    <row r="61" spans="1:10" ht="15.95" customHeight="1">
      <c r="A61" s="14"/>
      <c r="B61" s="52" t="s">
        <v>167</v>
      </c>
      <c r="C61" s="66" t="s">
        <v>18</v>
      </c>
      <c r="D61" s="54">
        <v>1</v>
      </c>
      <c r="E61" s="188"/>
      <c r="F61" s="55"/>
    </row>
    <row r="62" spans="1:10" ht="15.95" customHeight="1">
      <c r="A62" s="14"/>
      <c r="B62" s="60" t="s">
        <v>172</v>
      </c>
      <c r="C62" s="66" t="s">
        <v>18</v>
      </c>
      <c r="D62" s="54">
        <v>1</v>
      </c>
      <c r="E62" s="188"/>
      <c r="F62" s="55"/>
    </row>
    <row r="63" spans="1:10" ht="15.95" customHeight="1">
      <c r="A63" s="14"/>
      <c r="B63" s="52" t="s">
        <v>23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52" t="s">
        <v>25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185</v>
      </c>
      <c r="C65" s="66" t="s">
        <v>18</v>
      </c>
      <c r="D65" s="54">
        <v>1</v>
      </c>
      <c r="E65" s="188"/>
      <c r="F65" s="55"/>
      <c r="H65" s="21"/>
    </row>
    <row r="66" spans="1:8" ht="15.95" customHeight="1">
      <c r="A66" s="14"/>
      <c r="B66" s="52" t="s">
        <v>542</v>
      </c>
      <c r="C66" s="66" t="s">
        <v>26</v>
      </c>
      <c r="D66" s="54">
        <v>28</v>
      </c>
      <c r="E66" s="188"/>
      <c r="F66" s="55"/>
    </row>
    <row r="67" spans="1:8" ht="15.95" customHeight="1">
      <c r="A67" s="14"/>
      <c r="B67" s="52" t="s">
        <v>27</v>
      </c>
      <c r="C67" s="66" t="s">
        <v>24</v>
      </c>
      <c r="D67" s="54">
        <v>28</v>
      </c>
      <c r="E67" s="188"/>
      <c r="F67" s="55"/>
    </row>
    <row r="68" spans="1:8" ht="15.95" customHeight="1">
      <c r="A68" s="14"/>
      <c r="B68" s="52" t="s">
        <v>181</v>
      </c>
      <c r="C68" s="66" t="s">
        <v>24</v>
      </c>
      <c r="D68" s="54">
        <v>8</v>
      </c>
      <c r="E68" s="188"/>
      <c r="F68" s="55"/>
    </row>
    <row r="69" spans="1:8" ht="15.95" customHeight="1">
      <c r="A69" s="14"/>
      <c r="B69" s="52" t="s">
        <v>171</v>
      </c>
      <c r="C69" s="66" t="s">
        <v>18</v>
      </c>
      <c r="D69" s="54">
        <v>1</v>
      </c>
      <c r="E69" s="188"/>
      <c r="F69" s="55"/>
    </row>
    <row r="70" spans="1:8" ht="15.95" customHeight="1">
      <c r="A70" s="14"/>
      <c r="B70" s="52"/>
      <c r="C70" s="66"/>
      <c r="D70" s="54"/>
      <c r="E70" s="188"/>
      <c r="F70" s="55"/>
    </row>
    <row r="71" spans="1:8" ht="15.95" customHeight="1">
      <c r="A71" s="1" t="str">
        <f>VLOOKUP(Tabel_Totaal_werkzaamheden253[[#This Row],[OMSCHRIJVING]],Blad1!A:C,3,FALSE)</f>
        <v>3.7</v>
      </c>
      <c r="B71" s="70" t="s">
        <v>174</v>
      </c>
      <c r="C71" s="66"/>
      <c r="D71" s="54"/>
      <c r="E71" s="188"/>
      <c r="F71" s="55"/>
    </row>
    <row r="72" spans="1:8" ht="15.95" customHeight="1">
      <c r="A72" s="14"/>
      <c r="B72" s="19" t="s">
        <v>239</v>
      </c>
      <c r="C72" s="66" t="s">
        <v>26</v>
      </c>
      <c r="D72" s="54">
        <v>15</v>
      </c>
      <c r="E72" s="188"/>
      <c r="F72" s="55"/>
    </row>
    <row r="73" spans="1:8" s="164" customFormat="1" ht="25.5">
      <c r="A73" s="16"/>
      <c r="B73" s="164" t="s">
        <v>340</v>
      </c>
      <c r="C73" s="162" t="s">
        <v>26</v>
      </c>
      <c r="D73" s="156">
        <v>12</v>
      </c>
      <c r="E73" s="193"/>
      <c r="F73" s="157"/>
      <c r="G73" s="163"/>
    </row>
    <row r="74" spans="1:8" ht="15.95" customHeight="1">
      <c r="A74" s="14"/>
      <c r="B74" s="52"/>
      <c r="C74" s="66"/>
      <c r="D74" s="54"/>
      <c r="E74" s="188"/>
      <c r="F74" s="55"/>
    </row>
    <row r="75" spans="1:8" ht="15.95" customHeight="1">
      <c r="A75" s="1" t="str">
        <f>VLOOKUP(Tabel_Totaal_werkzaamheden253[[#This Row],[OMSCHRIJVING]],Blad1!A:C,3,FALSE)</f>
        <v>3.8</v>
      </c>
      <c r="B75" s="72" t="s">
        <v>231</v>
      </c>
      <c r="C75" s="73"/>
      <c r="D75" s="54"/>
      <c r="E75" s="188"/>
      <c r="F75" s="55"/>
    </row>
    <row r="76" spans="1:8" ht="15.95" customHeight="1">
      <c r="A76" s="14"/>
      <c r="B76" s="74" t="s">
        <v>28</v>
      </c>
      <c r="C76" s="73" t="s">
        <v>18</v>
      </c>
      <c r="D76" s="54">
        <v>1</v>
      </c>
      <c r="E76" s="188"/>
      <c r="F76" s="55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VLOOKUP(Tabel_Totaal_werkzaamheden253[[#This Row],[OMSCHRIJVING]],Blad1!A:C,3,FALSE)</f>
        <v>3.10</v>
      </c>
      <c r="B78" s="15" t="s">
        <v>499</v>
      </c>
      <c r="C78" s="66"/>
      <c r="D78" s="54"/>
      <c r="E78" s="188"/>
      <c r="F78" s="55"/>
    </row>
    <row r="79" spans="1:8" ht="15.95" customHeight="1">
      <c r="A79" s="14"/>
      <c r="B79" s="52" t="s">
        <v>230</v>
      </c>
      <c r="C79" s="66" t="s">
        <v>18</v>
      </c>
      <c r="D79" s="54">
        <v>1</v>
      </c>
      <c r="E79" s="188"/>
      <c r="F79" s="55"/>
    </row>
    <row r="80" spans="1:8" ht="15.95" customHeight="1">
      <c r="A80" s="14" t="str">
        <f>IF(Tabel_Totaal_werkzaamheden253[[#This Row],[OMSCHRIJVING]]="","",_xlfn.XLOOKUP(Tabel_Totaal_werkzaamheden253[[#This Row],[OMSCHRIJVING]],Verwijzingsblad!$B$2:$B$186,Verwijzingsblad!$A$2:$A$186,""))</f>
        <v/>
      </c>
      <c r="B80" s="52"/>
      <c r="C80" s="66"/>
      <c r="D80" s="54"/>
      <c r="E80" s="188"/>
      <c r="F80" s="55"/>
    </row>
    <row r="81" spans="1:7" ht="15.95" customHeight="1">
      <c r="A81" s="205" t="s">
        <v>155</v>
      </c>
      <c r="B81" s="206"/>
      <c r="C81" s="207"/>
      <c r="D81" s="208" t="str">
        <f>B3</f>
        <v>Brug 1 Frans Halsstraat</v>
      </c>
      <c r="E81" s="209" t="str">
        <f>A3</f>
        <v>PHO-03</v>
      </c>
      <c r="F81" s="210">
        <f>SUBTOTAL(109,Tabel_Totaal_werkzaamheden253[TOTAALBEDRAG IN EURO])</f>
        <v>0</v>
      </c>
      <c r="G81" s="75"/>
    </row>
    <row r="82" spans="1:7" ht="15.95" customHeight="1">
      <c r="A82" s="15"/>
      <c r="B82" s="52"/>
      <c r="C82" s="52"/>
      <c r="D82" s="76"/>
      <c r="E82" s="191"/>
      <c r="F82" s="77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E91" s="192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0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100</v>
      </c>
      <c r="B3" s="23" t="s">
        <v>101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152" t="s">
        <v>260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13.5</v>
      </c>
      <c r="E5" s="152" t="s">
        <v>248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IF(Tabel_Totaal_werkzaamheden252[[#This Row],[OMSCHRIJVING]]="","",_xlfn.XLOOKUP(Tabel_Totaal_werkzaamheden252[[#This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VLOOKUP(Tabel_Totaal_werkzaamheden252[[#This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VLOOKUP(Tabel_Totaal_werkzaamheden252[[#This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VLOOKUP(Tabel_Totaal_werkzaamheden252[[#This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VLOOKUP(Tabel_Totaal_werkzaamheden252[[#This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VLOOKUP(Tabel_Totaal_werkzaamheden252[[#This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VLOOKUP(Tabel_Totaal_werkzaamheden252[[#This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VLOOKUP(Tabel_Totaal_werkzaamheden252[[#This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VLOOKUP(Tabel_Totaal_werkzaamheden252[[#This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VLOOKUP(Tabel_Totaal_werkzaamheden252[[#This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VLOOKUP(Tabel_Totaal_werkzaamheden252[[#This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VLOOKUP(Tabel_Totaal_werkzaamheden252[[#This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VLOOKUP(Tabel_Totaal_werkzaamheden252[[#This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VLOOKUP(Tabel_Totaal_werkzaamheden252[[#This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12</v>
      </c>
      <c r="E51" s="188"/>
      <c r="F51" s="55"/>
    </row>
    <row r="52" spans="1:10" ht="15.95" customHeight="1">
      <c r="A52" s="14"/>
      <c r="B52" s="52" t="s">
        <v>237</v>
      </c>
      <c r="C52" s="66" t="s">
        <v>26</v>
      </c>
      <c r="D52" s="54">
        <v>16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VLOOKUP(Tabel_Totaal_werkzaamheden252[[#This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23</v>
      </c>
      <c r="E55" s="188"/>
      <c r="F55" s="55"/>
      <c r="H55" s="21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VLOOKUP(Tabel_Totaal_werkzaamheden252[[#This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27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VLOOKUP(Tabel_Totaal_werkzaamheden252[[#This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10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10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10" s="97" customFormat="1" ht="15.95" customHeight="1">
      <c r="A67" s="12"/>
      <c r="B67" s="60" t="s">
        <v>223</v>
      </c>
      <c r="C67" s="165" t="s">
        <v>18</v>
      </c>
      <c r="D67" s="54">
        <v>1</v>
      </c>
      <c r="E67" s="188"/>
      <c r="F67" s="55"/>
      <c r="G67" s="96"/>
    </row>
    <row r="68" spans="1:10" ht="15.95" customHeight="1">
      <c r="A68" s="14"/>
      <c r="B68" s="52" t="s">
        <v>25</v>
      </c>
      <c r="C68" s="66" t="s">
        <v>18</v>
      </c>
      <c r="D68" s="54">
        <v>1</v>
      </c>
      <c r="E68" s="188"/>
      <c r="F68" s="55"/>
    </row>
    <row r="69" spans="1:10" ht="15.95" customHeight="1">
      <c r="A69" s="14"/>
      <c r="B69" s="52" t="s">
        <v>185</v>
      </c>
      <c r="C69" s="66" t="s">
        <v>18</v>
      </c>
      <c r="D69" s="54">
        <v>1</v>
      </c>
      <c r="E69" s="188"/>
      <c r="F69" s="55"/>
      <c r="H69" s="21"/>
    </row>
    <row r="70" spans="1:10" ht="15.95" customHeight="1">
      <c r="A70" s="14"/>
      <c r="B70" s="52" t="s">
        <v>542</v>
      </c>
      <c r="C70" s="66" t="s">
        <v>26</v>
      </c>
      <c r="D70" s="54">
        <v>23</v>
      </c>
      <c r="E70" s="188"/>
      <c r="F70" s="55"/>
    </row>
    <row r="71" spans="1:10" ht="15.95" customHeight="1">
      <c r="A71" s="14"/>
      <c r="B71" s="52" t="s">
        <v>27</v>
      </c>
      <c r="C71" s="66" t="s">
        <v>24</v>
      </c>
      <c r="D71" s="54">
        <v>27</v>
      </c>
      <c r="E71" s="188"/>
      <c r="F71" s="55"/>
    </row>
    <row r="72" spans="1:10" ht="15.95" customHeight="1">
      <c r="A72" s="14"/>
      <c r="B72" s="52" t="s">
        <v>181</v>
      </c>
      <c r="C72" s="66" t="s">
        <v>24</v>
      </c>
      <c r="D72" s="54">
        <v>8</v>
      </c>
      <c r="E72" s="188"/>
      <c r="F72" s="55"/>
    </row>
    <row r="73" spans="1:10" ht="15.95" customHeight="1">
      <c r="A73" s="14"/>
      <c r="B73" s="52" t="s">
        <v>171</v>
      </c>
      <c r="C73" s="66" t="s">
        <v>18</v>
      </c>
      <c r="D73" s="54">
        <v>1</v>
      </c>
      <c r="E73" s="188"/>
      <c r="F73" s="55"/>
    </row>
    <row r="74" spans="1:10" ht="15.95" customHeight="1">
      <c r="A74" s="14"/>
      <c r="B74" s="52"/>
      <c r="C74" s="66"/>
      <c r="D74" s="54"/>
      <c r="E74" s="188"/>
      <c r="F74" s="55"/>
    </row>
    <row r="75" spans="1:10" ht="15.95" customHeight="1">
      <c r="A75" s="1" t="str">
        <f>VLOOKUP(Tabel_Totaal_werkzaamheden252[[#This Row],[OMSCHRIJVING]],Blad1!A:C,3,FALSE)</f>
        <v>3.7</v>
      </c>
      <c r="B75" s="70" t="s">
        <v>174</v>
      </c>
      <c r="C75" s="66"/>
      <c r="D75" s="54"/>
      <c r="E75" s="188"/>
      <c r="F75" s="55"/>
    </row>
    <row r="76" spans="1:10" ht="15.95" customHeight="1">
      <c r="A76" s="14"/>
      <c r="B76" s="19" t="s">
        <v>239</v>
      </c>
      <c r="C76" s="66" t="s">
        <v>26</v>
      </c>
      <c r="D76" s="54">
        <v>12</v>
      </c>
      <c r="E76" s="188"/>
      <c r="F76" s="55"/>
    </row>
    <row r="77" spans="1:10" s="164" customFormat="1" ht="25.5">
      <c r="A77" s="16"/>
      <c r="B77" s="164" t="s">
        <v>340</v>
      </c>
      <c r="C77" s="162" t="s">
        <v>26</v>
      </c>
      <c r="D77" s="156">
        <v>16</v>
      </c>
      <c r="E77" s="193"/>
      <c r="F77" s="157"/>
      <c r="G77" s="163"/>
    </row>
    <row r="78" spans="1:10" s="171" customFormat="1" ht="15.95" customHeight="1">
      <c r="A78" s="17"/>
      <c r="B78" s="167"/>
      <c r="C78" s="168"/>
      <c r="D78" s="169"/>
      <c r="E78" s="194"/>
      <c r="F78" s="170"/>
      <c r="G78" s="21"/>
      <c r="H78" s="19"/>
      <c r="I78" s="19"/>
      <c r="J78" s="19"/>
    </row>
    <row r="79" spans="1:10" ht="15.95" customHeight="1">
      <c r="A79" s="1" t="str">
        <f>VLOOKUP(Tabel_Totaal_werkzaamheden252[[#This Row],[OMSCHRIJVING]],Blad1!A:C,3,FALSE)</f>
        <v>3.8</v>
      </c>
      <c r="B79" s="72" t="s">
        <v>231</v>
      </c>
      <c r="C79" s="73"/>
      <c r="D79" s="54"/>
      <c r="E79" s="188"/>
      <c r="F79" s="55"/>
      <c r="H79" s="171"/>
      <c r="I79" s="171"/>
      <c r="J79" s="171"/>
    </row>
    <row r="80" spans="1:10" ht="15.95" customHeight="1">
      <c r="A80" s="14"/>
      <c r="B80" s="74" t="s">
        <v>28</v>
      </c>
      <c r="C80" s="73" t="s">
        <v>18</v>
      </c>
      <c r="D80" s="54">
        <v>1</v>
      </c>
      <c r="E80" s="188"/>
      <c r="F80" s="55"/>
      <c r="G80" s="172"/>
    </row>
    <row r="81" spans="1:10" ht="15.95" customHeight="1">
      <c r="A81" s="14"/>
      <c r="B81" s="52"/>
      <c r="C81" s="66"/>
      <c r="D81" s="54"/>
      <c r="E81" s="188"/>
      <c r="F81" s="55"/>
    </row>
    <row r="82" spans="1:10" ht="15.95" customHeight="1">
      <c r="A82" s="1" t="str">
        <f>VLOOKUP(Tabel_Totaal_werkzaamheden252[[#This Row],[OMSCHRIJVING]],Blad1!A:C,3,FALSE)</f>
        <v>3.9</v>
      </c>
      <c r="B82" s="72" t="s">
        <v>184</v>
      </c>
      <c r="C82" s="73"/>
      <c r="D82" s="54"/>
      <c r="E82" s="188"/>
      <c r="F82" s="55"/>
    </row>
    <row r="83" spans="1:10" s="97" customFormat="1" ht="15.95" customHeight="1">
      <c r="A83" s="219" t="s">
        <v>489</v>
      </c>
      <c r="B83" s="74" t="s">
        <v>326</v>
      </c>
      <c r="C83" s="73" t="s">
        <v>18</v>
      </c>
      <c r="D83" s="54">
        <v>1</v>
      </c>
      <c r="E83" s="188"/>
      <c r="F83" s="55"/>
      <c r="G83" s="21"/>
      <c r="H83" s="19"/>
      <c r="I83" s="19"/>
      <c r="J83" s="19"/>
    </row>
    <row r="84" spans="1:10" ht="15.95" customHeight="1">
      <c r="A84" s="14"/>
      <c r="B84" s="52"/>
      <c r="C84" s="66"/>
      <c r="D84" s="54"/>
      <c r="E84" s="188"/>
      <c r="F84" s="55"/>
      <c r="H84" s="97"/>
      <c r="I84" s="97"/>
      <c r="J84" s="97"/>
    </row>
    <row r="85" spans="1:10" ht="15.95" customHeight="1">
      <c r="A85" s="1" t="str">
        <f>VLOOKUP(Tabel_Totaal_werkzaamheden252[[#This Row],[OMSCHRIJVING]],Blad1!A:C,3,FALSE)</f>
        <v>3.10</v>
      </c>
      <c r="B85" s="15" t="s">
        <v>499</v>
      </c>
      <c r="C85" s="66"/>
      <c r="D85" s="54"/>
      <c r="E85" s="188"/>
      <c r="F85" s="55"/>
      <c r="G85" s="96"/>
    </row>
    <row r="86" spans="1:10" ht="15.95" customHeight="1">
      <c r="A86" s="14"/>
      <c r="B86" s="52" t="s">
        <v>230</v>
      </c>
      <c r="C86" s="66" t="s">
        <v>18</v>
      </c>
      <c r="D86" s="54">
        <v>1</v>
      </c>
      <c r="E86" s="188"/>
      <c r="F86" s="55"/>
    </row>
    <row r="87" spans="1:10" ht="15.95" customHeight="1">
      <c r="A87" s="14" t="str">
        <f>IF(Tabel_Totaal_werkzaamheden252[[#This Row],[OMSCHRIJVING]]="","",_xlfn.XLOOKUP(Tabel_Totaal_werkzaamheden252[[#This Row],[OMSCHRIJVING]],Verwijzingsblad!$B$2:$B$186,Verwijzingsblad!$A$2:$A$186,""))</f>
        <v/>
      </c>
      <c r="B87" s="52"/>
      <c r="C87" s="66"/>
      <c r="D87" s="54"/>
      <c r="E87" s="188"/>
      <c r="F87" s="55"/>
    </row>
    <row r="88" spans="1:10" ht="15.95" customHeight="1">
      <c r="A88" s="205" t="s">
        <v>155</v>
      </c>
      <c r="B88" s="206"/>
      <c r="C88" s="207"/>
      <c r="D88" s="208" t="str">
        <f>B3</f>
        <v>Brug 1 Carel Fabritiuspad</v>
      </c>
      <c r="E88" s="209" t="str">
        <f>A3</f>
        <v>PHO-04</v>
      </c>
      <c r="F88" s="210">
        <f>SUBTOTAL(109,Tabel_Totaal_werkzaamheden252[TOTAALBEDRAG IN EURO])</f>
        <v>0</v>
      </c>
    </row>
    <row r="89" spans="1:10" ht="15.95" customHeight="1">
      <c r="A89" s="15"/>
      <c r="B89" s="52"/>
      <c r="C89" s="52"/>
      <c r="D89" s="76"/>
      <c r="E89" s="191"/>
      <c r="F89" s="77"/>
    </row>
    <row r="90" spans="1:10" ht="15.95" customHeight="1">
      <c r="A90" s="15"/>
      <c r="B90" s="52"/>
      <c r="C90" s="52"/>
      <c r="D90" s="76"/>
      <c r="E90" s="191"/>
      <c r="F90" s="77"/>
      <c r="G90" s="75"/>
    </row>
    <row r="91" spans="1:10" ht="15.95" customHeight="1">
      <c r="A91" s="15"/>
      <c r="B91" s="52"/>
      <c r="C91" s="52"/>
      <c r="D91" s="76"/>
      <c r="E91" s="191"/>
      <c r="F91" s="77"/>
    </row>
    <row r="92" spans="1:10" ht="15.95" customHeight="1">
      <c r="A92" s="15"/>
      <c r="B92" s="52"/>
      <c r="C92" s="52"/>
      <c r="D92" s="76"/>
      <c r="E92" s="191"/>
      <c r="F92" s="77"/>
    </row>
    <row r="93" spans="1:10" ht="15.95" customHeight="1">
      <c r="A93" s="15"/>
      <c r="B93" s="52"/>
      <c r="C93" s="52"/>
      <c r="D93" s="76"/>
      <c r="E93" s="191"/>
      <c r="F93" s="77"/>
    </row>
    <row r="94" spans="1:10" ht="15.95" customHeight="1">
      <c r="A94" s="15"/>
      <c r="B94" s="52"/>
      <c r="C94" s="52"/>
      <c r="D94" s="76"/>
      <c r="E94" s="191"/>
      <c r="F94" s="77"/>
    </row>
    <row r="95" spans="1:10" ht="15.95" customHeight="1">
      <c r="A95" s="15"/>
      <c r="B95" s="52"/>
      <c r="C95" s="52"/>
      <c r="D95" s="76"/>
      <c r="E95" s="191"/>
      <c r="F95" s="77"/>
    </row>
    <row r="96" spans="1:10" ht="15.95" customHeight="1">
      <c r="A96" s="15"/>
      <c r="B96" s="52"/>
      <c r="C96" s="52"/>
      <c r="D96" s="76"/>
      <c r="E96" s="191"/>
      <c r="F96" s="77"/>
    </row>
    <row r="97" spans="1:6" ht="15.95" customHeight="1">
      <c r="A97" s="15"/>
      <c r="B97" s="52"/>
      <c r="C97" s="52"/>
      <c r="D97" s="76"/>
      <c r="E97" s="191"/>
      <c r="F97" s="77"/>
    </row>
    <row r="98" spans="1:6" ht="15.95" customHeight="1">
      <c r="E98" s="192"/>
    </row>
    <row r="99" spans="1:6" ht="15.95" customHeight="1">
      <c r="E99" s="192"/>
    </row>
    <row r="100" spans="1:6" ht="15.95" customHeight="1">
      <c r="E100" s="192"/>
    </row>
    <row r="101" spans="1:6" ht="15.95" customHeight="1">
      <c r="E101" s="192"/>
    </row>
    <row r="102" spans="1:6" ht="15.95" customHeight="1">
      <c r="E102" s="192"/>
    </row>
    <row r="103" spans="1:6" ht="15.95" customHeight="1">
      <c r="E103" s="192"/>
    </row>
    <row r="104" spans="1:6" ht="15.95" customHeight="1">
      <c r="E104" s="192"/>
    </row>
    <row r="105" spans="1:6" ht="15.95" customHeight="1">
      <c r="E105" s="192"/>
    </row>
    <row r="106" spans="1:6" ht="15.95" customHeight="1">
      <c r="E106" s="192"/>
    </row>
    <row r="107" spans="1:6" ht="15.95" customHeight="1">
      <c r="E107" s="192"/>
    </row>
    <row r="108" spans="1:6" ht="15.95" customHeight="1">
      <c r="E108" s="192"/>
    </row>
    <row r="109" spans="1:6" ht="15.95" customHeight="1">
      <c r="E109" s="192"/>
    </row>
    <row r="110" spans="1:6" ht="15.95" customHeight="1">
      <c r="E110" s="192"/>
    </row>
    <row r="111" spans="1:6" ht="15.95" customHeight="1">
      <c r="E111" s="192"/>
    </row>
    <row r="112" spans="1:6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9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102</v>
      </c>
      <c r="B3" s="23" t="s">
        <v>103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31" t="s">
        <v>310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12.3</v>
      </c>
      <c r="E5" s="31" t="s">
        <v>309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IF(Tabel_Totaal_werkzaamheden251[[#This Row],[OMSCHRIJVING]]="","",_xlfn.XLOOKUP(Tabel_Totaal_werkzaamheden251[[#This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VLOOKUP(Tabel_Totaal_werkzaamheden251[[#This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VLOOKUP(Tabel_Totaal_werkzaamheden251[[#This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VLOOKUP(Tabel_Totaal_werkzaamheden251[[#This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2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VLOOKUP(Tabel_Totaal_werkzaamheden251[[#This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4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VLOOKUP(Tabel_Totaal_werkzaamheden251[[#This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2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4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4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VLOOKUP(Tabel_Totaal_werkzaamheden251[[#This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4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VLOOKUP(Tabel_Totaal_werkzaamheden251[[#This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4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4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4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VLOOKUP(Tabel_Totaal_werkzaamheden251[[#This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4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VLOOKUP(Tabel_Totaal_werkzaamheden251[[#This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4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4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VLOOKUP(Tabel_Totaal_werkzaamheden251[[#This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4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4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VLOOKUP(Tabel_Totaal_werkzaamheden251[[#This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4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4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4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VLOOKUP(Tabel_Totaal_werkzaamheden251[[#This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4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 t="s">
        <v>238</v>
      </c>
      <c r="C48" s="66" t="s">
        <v>26</v>
      </c>
      <c r="D48" s="54">
        <v>6.5</v>
      </c>
      <c r="E48" s="188"/>
      <c r="F48" s="55"/>
    </row>
    <row r="49" spans="1:10" ht="15.95" customHeight="1">
      <c r="A49" s="14"/>
      <c r="B49" s="52" t="s">
        <v>351</v>
      </c>
      <c r="C49" s="66" t="s">
        <v>26</v>
      </c>
      <c r="D49" s="54">
        <v>8</v>
      </c>
      <c r="E49" s="188"/>
      <c r="F49" s="55"/>
      <c r="I49" s="21"/>
    </row>
    <row r="50" spans="1:10" ht="15.95" customHeight="1">
      <c r="A50" s="14"/>
      <c r="B50" s="52"/>
      <c r="C50" s="66"/>
      <c r="D50" s="54"/>
      <c r="E50" s="188"/>
      <c r="F50" s="55"/>
    </row>
    <row r="51" spans="1:10" ht="15.95" customHeight="1">
      <c r="A51" s="1" t="str">
        <f>VLOOKUP(Tabel_Totaal_werkzaamheden251[[#This Row],[OMSCHRIJVING]],Blad1!A:C,3,FALSE)</f>
        <v>3.4</v>
      </c>
      <c r="B51" s="70" t="s">
        <v>543</v>
      </c>
      <c r="C51" s="66"/>
      <c r="D51" s="54"/>
      <c r="E51" s="188"/>
      <c r="F51" s="55"/>
    </row>
    <row r="52" spans="1:10" ht="15.95" customHeight="1">
      <c r="A52" s="14"/>
      <c r="B52" s="60" t="s">
        <v>545</v>
      </c>
      <c r="C52" s="66" t="s">
        <v>26</v>
      </c>
      <c r="D52" s="54">
        <v>24</v>
      </c>
      <c r="E52" s="188"/>
      <c r="F52" s="55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VLOOKUP(Tabel_Totaal_werkzaamheden251[[#This Row],[OMSCHRIJVING]],Blad1!A:C,3,FALSE)</f>
        <v>3.5</v>
      </c>
      <c r="B54" s="70" t="s">
        <v>169</v>
      </c>
      <c r="C54" s="66"/>
      <c r="D54" s="54"/>
      <c r="E54" s="188"/>
      <c r="F54" s="55"/>
    </row>
    <row r="55" spans="1:10" ht="15.95" customHeight="1">
      <c r="A55" s="14"/>
      <c r="B55" s="19" t="s">
        <v>179</v>
      </c>
      <c r="C55" s="66" t="s">
        <v>18</v>
      </c>
      <c r="D55" s="54">
        <v>1</v>
      </c>
      <c r="E55" s="188"/>
      <c r="F55" s="55"/>
    </row>
    <row r="56" spans="1:10" ht="15.95" customHeight="1">
      <c r="A56" s="14"/>
      <c r="B56" s="19" t="s">
        <v>170</v>
      </c>
      <c r="C56" s="66" t="s">
        <v>18</v>
      </c>
      <c r="D56" s="54">
        <v>1</v>
      </c>
      <c r="E56" s="188"/>
      <c r="F56" s="55"/>
    </row>
    <row r="57" spans="1:10" ht="15.95" customHeight="1">
      <c r="A57" s="14"/>
      <c r="B57" s="19" t="s">
        <v>178</v>
      </c>
      <c r="C57" s="66" t="s">
        <v>24</v>
      </c>
      <c r="D57" s="54">
        <v>25</v>
      </c>
      <c r="E57" s="188"/>
      <c r="F57" s="55"/>
      <c r="I57" s="71"/>
      <c r="J57" s="71"/>
    </row>
    <row r="58" spans="1:10" ht="15.95" customHeight="1">
      <c r="A58" s="14"/>
      <c r="B58" s="52"/>
      <c r="C58" s="66"/>
      <c r="D58" s="54"/>
      <c r="E58" s="188"/>
      <c r="F58" s="55"/>
    </row>
    <row r="59" spans="1:10" ht="15.95" customHeight="1">
      <c r="A59" s="1" t="str">
        <f>VLOOKUP(Tabel_Totaal_werkzaamheden251[[#This Row],[OMSCHRIJVING]],Blad1!A:C,3,FALSE)</f>
        <v>3.6</v>
      </c>
      <c r="B59" s="15" t="s">
        <v>472</v>
      </c>
      <c r="C59" s="66"/>
      <c r="D59" s="54"/>
      <c r="E59" s="188"/>
      <c r="F59" s="55"/>
    </row>
    <row r="60" spans="1:10" ht="15.95" customHeight="1">
      <c r="A60" s="14"/>
      <c r="B60" s="52" t="s">
        <v>186</v>
      </c>
      <c r="C60" s="66" t="s">
        <v>18</v>
      </c>
      <c r="D60" s="54">
        <v>1</v>
      </c>
      <c r="E60" s="188"/>
      <c r="F60" s="55"/>
      <c r="G60" s="67"/>
    </row>
    <row r="61" spans="1:10" ht="15.95" customHeight="1">
      <c r="A61" s="14"/>
      <c r="B61" s="52" t="s">
        <v>167</v>
      </c>
      <c r="C61" s="66" t="s">
        <v>18</v>
      </c>
      <c r="D61" s="54">
        <v>1</v>
      </c>
      <c r="E61" s="188"/>
      <c r="F61" s="55"/>
    </row>
    <row r="62" spans="1:10" ht="15.95" customHeight="1">
      <c r="A62" s="14"/>
      <c r="B62" s="60" t="s">
        <v>172</v>
      </c>
      <c r="C62" s="66" t="s">
        <v>18</v>
      </c>
      <c r="D62" s="54">
        <v>1</v>
      </c>
      <c r="E62" s="188"/>
      <c r="F62" s="55"/>
    </row>
    <row r="63" spans="1:10" ht="15.95" customHeight="1">
      <c r="A63" s="14"/>
      <c r="B63" s="52" t="s">
        <v>23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52" t="s">
        <v>25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185</v>
      </c>
      <c r="C65" s="66" t="s">
        <v>18</v>
      </c>
      <c r="D65" s="54">
        <v>1</v>
      </c>
      <c r="E65" s="188"/>
      <c r="F65" s="55"/>
      <c r="H65" s="21"/>
    </row>
    <row r="66" spans="1:8" ht="15.95" customHeight="1">
      <c r="A66" s="14"/>
      <c r="B66" s="52" t="s">
        <v>542</v>
      </c>
      <c r="C66" s="66" t="s">
        <v>26</v>
      </c>
      <c r="D66" s="54">
        <v>24</v>
      </c>
      <c r="E66" s="188"/>
      <c r="F66" s="55"/>
    </row>
    <row r="67" spans="1:8" ht="15.95" customHeight="1">
      <c r="A67" s="14"/>
      <c r="B67" s="52" t="s">
        <v>27</v>
      </c>
      <c r="C67" s="66" t="s">
        <v>24</v>
      </c>
      <c r="D67" s="54">
        <v>25</v>
      </c>
      <c r="E67" s="188"/>
      <c r="F67" s="55"/>
    </row>
    <row r="68" spans="1:8" ht="15.95" customHeight="1">
      <c r="A68" s="14"/>
      <c r="B68" s="52" t="s">
        <v>181</v>
      </c>
      <c r="C68" s="66" t="s">
        <v>24</v>
      </c>
      <c r="D68" s="54">
        <v>12</v>
      </c>
      <c r="E68" s="188"/>
      <c r="F68" s="55"/>
      <c r="G68" s="19"/>
    </row>
    <row r="69" spans="1:8" ht="15.95" customHeight="1">
      <c r="A69" s="14"/>
      <c r="B69" s="52" t="s">
        <v>171</v>
      </c>
      <c r="C69" s="66" t="s">
        <v>18</v>
      </c>
      <c r="D69" s="54">
        <v>1</v>
      </c>
      <c r="E69" s="188"/>
      <c r="F69" s="55"/>
    </row>
    <row r="70" spans="1:8" ht="15.95" customHeight="1">
      <c r="A70" s="14"/>
      <c r="B70" s="52"/>
      <c r="C70" s="66"/>
      <c r="D70" s="54"/>
      <c r="E70" s="188"/>
      <c r="F70" s="55"/>
    </row>
    <row r="71" spans="1:8" ht="15.95" customHeight="1">
      <c r="A71" s="1" t="str">
        <f>VLOOKUP(Tabel_Totaal_werkzaamheden251[[#This Row],[OMSCHRIJVING]],Blad1!A:C,3,FALSE)</f>
        <v>3.7</v>
      </c>
      <c r="B71" s="70" t="s">
        <v>174</v>
      </c>
      <c r="C71" s="66"/>
      <c r="D71" s="54"/>
      <c r="E71" s="188"/>
      <c r="F71" s="55"/>
    </row>
    <row r="72" spans="1:8" ht="15.95" customHeight="1">
      <c r="A72" s="14"/>
      <c r="B72" s="19" t="s">
        <v>239</v>
      </c>
      <c r="C72" s="66" t="s">
        <v>26</v>
      </c>
      <c r="D72" s="54">
        <v>6.5</v>
      </c>
      <c r="E72" s="188"/>
      <c r="F72" s="55"/>
    </row>
    <row r="73" spans="1:8" s="164" customFormat="1" ht="25.5">
      <c r="A73" s="16"/>
      <c r="B73" s="164" t="s">
        <v>343</v>
      </c>
      <c r="C73" s="162" t="s">
        <v>26</v>
      </c>
      <c r="D73" s="156">
        <v>8</v>
      </c>
      <c r="E73" s="193"/>
      <c r="F73" s="157"/>
      <c r="G73" s="163"/>
    </row>
    <row r="74" spans="1:8" ht="15.95" customHeight="1">
      <c r="A74" s="14"/>
      <c r="B74" s="52"/>
      <c r="C74" s="66"/>
      <c r="D74" s="54"/>
      <c r="E74" s="188"/>
      <c r="F74" s="55"/>
    </row>
    <row r="75" spans="1:8" ht="15.95" customHeight="1">
      <c r="A75" s="1" t="str">
        <f>VLOOKUP(Tabel_Totaal_werkzaamheden251[[#This Row],[OMSCHRIJVING]],Blad1!A:C,3,FALSE)</f>
        <v>3.8</v>
      </c>
      <c r="B75" s="72" t="s">
        <v>231</v>
      </c>
      <c r="C75" s="73"/>
      <c r="D75" s="54"/>
      <c r="E75" s="188"/>
      <c r="F75" s="55"/>
    </row>
    <row r="76" spans="1:8" ht="15.95" customHeight="1">
      <c r="A76" s="14"/>
      <c r="B76" s="74" t="s">
        <v>28</v>
      </c>
      <c r="C76" s="73" t="s">
        <v>18</v>
      </c>
      <c r="D76" s="54">
        <v>1</v>
      </c>
      <c r="E76" s="188"/>
      <c r="F76" s="55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VLOOKUP(Tabel_Totaal_werkzaamheden251[[#This Row],[OMSCHRIJVING]],Blad1!A:C,3,FALSE)</f>
        <v>3.10</v>
      </c>
      <c r="B78" s="15" t="s">
        <v>499</v>
      </c>
      <c r="C78" s="66"/>
      <c r="D78" s="54"/>
      <c r="E78" s="188"/>
      <c r="F78" s="55"/>
    </row>
    <row r="79" spans="1:8" ht="15.95" customHeight="1">
      <c r="A79" s="14"/>
      <c r="B79" s="52" t="s">
        <v>230</v>
      </c>
      <c r="C79" s="66" t="s">
        <v>18</v>
      </c>
      <c r="D79" s="54">
        <v>1</v>
      </c>
      <c r="E79" s="188"/>
      <c r="F79" s="55"/>
    </row>
    <row r="80" spans="1:8" ht="15.95" customHeight="1">
      <c r="A80" s="14" t="str">
        <f>IF(Tabel_Totaal_werkzaamheden251[[#This Row],[OMSCHRIJVING]]="","",_xlfn.XLOOKUP(Tabel_Totaal_werkzaamheden251[[#This Row],[OMSCHRIJVING]],Verwijzingsblad!$B$2:$B$186,Verwijzingsblad!$A$2:$A$186,""))</f>
        <v/>
      </c>
      <c r="B80" s="52"/>
      <c r="C80" s="66"/>
      <c r="D80" s="54"/>
      <c r="E80" s="188"/>
      <c r="F80" s="55"/>
    </row>
    <row r="81" spans="1:7" ht="15.95" customHeight="1">
      <c r="A81" s="205" t="s">
        <v>155</v>
      </c>
      <c r="B81" s="206"/>
      <c r="C81" s="207"/>
      <c r="D81" s="208" t="str">
        <f>B3</f>
        <v>Brug 2 Carel Fabritiuspad</v>
      </c>
      <c r="E81" s="209" t="str">
        <f>A3</f>
        <v>PHO-05</v>
      </c>
      <c r="F81" s="210">
        <f>SUBTOTAL(109,Tabel_Totaal_werkzaamheden251[TOTAALBEDRAG IN EURO])</f>
        <v>0</v>
      </c>
    </row>
    <row r="82" spans="1:7" ht="15.95" customHeight="1">
      <c r="A82" s="15"/>
      <c r="B82" s="52"/>
      <c r="C82" s="52"/>
      <c r="D82" s="76"/>
      <c r="E82" s="191"/>
      <c r="F82" s="77"/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E91" s="192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8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104</v>
      </c>
      <c r="B3" s="23" t="s">
        <v>105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31" t="s">
        <v>260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12.3</v>
      </c>
      <c r="E5" s="31" t="s">
        <v>309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IF(Tabel_Totaal_werkzaamheden250[[#This Row],[OMSCHRIJVING]]="","",_xlfn.XLOOKUP(Tabel_Totaal_werkzaamheden250[[#This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VLOOKUP(Tabel_Totaal_werkzaamheden250[[#This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VLOOKUP(Tabel_Totaal_werkzaamheden250[[#This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VLOOKUP(Tabel_Totaal_werkzaamheden250[[#This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2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VLOOKUP(Tabel_Totaal_werkzaamheden250[[#This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4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VLOOKUP(Tabel_Totaal_werkzaamheden250[[#This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2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4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4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VLOOKUP(Tabel_Totaal_werkzaamheden250[[#This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4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VLOOKUP(Tabel_Totaal_werkzaamheden250[[#This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4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4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4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VLOOKUP(Tabel_Totaal_werkzaamheden250[[#This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4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VLOOKUP(Tabel_Totaal_werkzaamheden250[[#This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4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4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VLOOKUP(Tabel_Totaal_werkzaamheden250[[#This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4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4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VLOOKUP(Tabel_Totaal_werkzaamheden250[[#This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4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4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4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VLOOKUP(Tabel_Totaal_werkzaamheden250[[#This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4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 t="s">
        <v>237</v>
      </c>
      <c r="C48" s="66" t="s">
        <v>26</v>
      </c>
      <c r="D48" s="54">
        <v>15</v>
      </c>
      <c r="E48" s="188"/>
      <c r="F48" s="55"/>
      <c r="I48" s="21"/>
    </row>
    <row r="49" spans="1:10" ht="15.95" customHeight="1">
      <c r="A49" s="14"/>
      <c r="B49" s="52"/>
      <c r="C49" s="66"/>
      <c r="D49" s="54"/>
      <c r="E49" s="188"/>
      <c r="F49" s="55"/>
    </row>
    <row r="50" spans="1:10" ht="15.95" customHeight="1">
      <c r="A50" s="1" t="str">
        <f>VLOOKUP(Tabel_Totaal_werkzaamheden250[[#This Row],[OMSCHRIJVING]],Blad1!A:C,3,FALSE)</f>
        <v>3.4</v>
      </c>
      <c r="B50" s="70" t="s">
        <v>543</v>
      </c>
      <c r="C50" s="66"/>
      <c r="D50" s="54"/>
      <c r="E50" s="188"/>
      <c r="F50" s="55"/>
    </row>
    <row r="51" spans="1:10" ht="15.95" customHeight="1">
      <c r="A51" s="14"/>
      <c r="B51" s="60" t="s">
        <v>545</v>
      </c>
      <c r="C51" s="66" t="s">
        <v>26</v>
      </c>
      <c r="D51" s="54">
        <v>37</v>
      </c>
      <c r="E51" s="188"/>
      <c r="F51" s="55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VLOOKUP(Tabel_Totaal_werkzaamheden250[[#This Row],[OMSCHRIJVING]],Blad1!A:C,3,FALSE)</f>
        <v>3.5</v>
      </c>
      <c r="B53" s="70" t="s">
        <v>169</v>
      </c>
      <c r="C53" s="66"/>
      <c r="D53" s="54"/>
      <c r="E53" s="188"/>
      <c r="F53" s="55"/>
    </row>
    <row r="54" spans="1:10" ht="15.95" customHeight="1">
      <c r="A54" s="14"/>
      <c r="B54" s="19" t="s">
        <v>179</v>
      </c>
      <c r="C54" s="66" t="s">
        <v>18</v>
      </c>
      <c r="D54" s="54">
        <v>1</v>
      </c>
      <c r="E54" s="188"/>
      <c r="F54" s="55"/>
    </row>
    <row r="55" spans="1:10" ht="15.95" customHeight="1">
      <c r="A55" s="14"/>
      <c r="B55" s="19" t="s">
        <v>170</v>
      </c>
      <c r="C55" s="66" t="s">
        <v>18</v>
      </c>
      <c r="D55" s="54">
        <v>1</v>
      </c>
      <c r="E55" s="188"/>
      <c r="F55" s="55"/>
    </row>
    <row r="56" spans="1:10" ht="15.95" customHeight="1">
      <c r="A56" s="14"/>
      <c r="B56" s="19" t="s">
        <v>178</v>
      </c>
      <c r="C56" s="66" t="s">
        <v>24</v>
      </c>
      <c r="D56" s="54">
        <v>25</v>
      </c>
      <c r="E56" s="188"/>
      <c r="F56" s="55"/>
      <c r="I56" s="71"/>
      <c r="J56" s="71"/>
    </row>
    <row r="57" spans="1:10" ht="15.95" customHeight="1">
      <c r="A57" s="14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VLOOKUP(Tabel_Totaal_werkzaamheden250[[#This Row],[OMSCHRIJVING]],Blad1!A:C,3,FALSE)</f>
        <v>3.6</v>
      </c>
      <c r="B58" s="15" t="s">
        <v>472</v>
      </c>
      <c r="C58" s="66"/>
      <c r="D58" s="54"/>
      <c r="E58" s="188"/>
      <c r="F58" s="55"/>
    </row>
    <row r="59" spans="1:10" ht="15.95" customHeight="1">
      <c r="A59" s="14"/>
      <c r="B59" s="52" t="s">
        <v>186</v>
      </c>
      <c r="C59" s="66" t="s">
        <v>18</v>
      </c>
      <c r="D59" s="54">
        <v>1</v>
      </c>
      <c r="E59" s="188"/>
      <c r="F59" s="55"/>
      <c r="G59" s="67"/>
    </row>
    <row r="60" spans="1:10" ht="15.95" customHeight="1">
      <c r="A60" s="14"/>
      <c r="B60" s="52" t="s">
        <v>167</v>
      </c>
      <c r="C60" s="66" t="s">
        <v>18</v>
      </c>
      <c r="D60" s="54">
        <v>1</v>
      </c>
      <c r="E60" s="188"/>
      <c r="F60" s="55"/>
    </row>
    <row r="61" spans="1:10" ht="15.95" customHeight="1">
      <c r="A61" s="14"/>
      <c r="B61" s="60" t="s">
        <v>172</v>
      </c>
      <c r="C61" s="66" t="s">
        <v>18</v>
      </c>
      <c r="D61" s="54">
        <v>1</v>
      </c>
      <c r="E61" s="188"/>
      <c r="F61" s="55"/>
    </row>
    <row r="62" spans="1:10" ht="15.95" customHeight="1">
      <c r="A62" s="14"/>
      <c r="B62" s="52" t="s">
        <v>23</v>
      </c>
      <c r="C62" s="66" t="s">
        <v>18</v>
      </c>
      <c r="D62" s="54">
        <v>1</v>
      </c>
      <c r="E62" s="188"/>
      <c r="F62" s="55"/>
    </row>
    <row r="63" spans="1:10" ht="15.95" customHeight="1">
      <c r="A63" s="14"/>
      <c r="B63" s="52" t="s">
        <v>25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52" t="s">
        <v>185</v>
      </c>
      <c r="C64" s="66" t="s">
        <v>18</v>
      </c>
      <c r="D64" s="54">
        <v>1</v>
      </c>
      <c r="E64" s="188"/>
      <c r="F64" s="55"/>
      <c r="H64" s="21"/>
    </row>
    <row r="65" spans="1:7" ht="15.95" customHeight="1">
      <c r="A65" s="14"/>
      <c r="B65" s="52" t="s">
        <v>547</v>
      </c>
      <c r="C65" s="66" t="s">
        <v>26</v>
      </c>
      <c r="D65" s="54">
        <v>37</v>
      </c>
      <c r="E65" s="188"/>
      <c r="F65" s="55"/>
    </row>
    <row r="66" spans="1:7" ht="15.95" customHeight="1">
      <c r="A66" s="14"/>
      <c r="B66" s="52" t="s">
        <v>27</v>
      </c>
      <c r="C66" s="66" t="s">
        <v>24</v>
      </c>
      <c r="D66" s="54">
        <v>25</v>
      </c>
      <c r="E66" s="188"/>
      <c r="F66" s="55"/>
    </row>
    <row r="67" spans="1:7" ht="15.95" customHeight="1">
      <c r="A67" s="14"/>
      <c r="B67" s="52" t="s">
        <v>181</v>
      </c>
      <c r="C67" s="66" t="s">
        <v>24</v>
      </c>
      <c r="D67" s="54">
        <v>14</v>
      </c>
      <c r="E67" s="188"/>
      <c r="F67" s="55"/>
    </row>
    <row r="68" spans="1:7" ht="15.95" customHeight="1">
      <c r="A68" s="14"/>
      <c r="B68" s="52" t="s">
        <v>171</v>
      </c>
      <c r="C68" s="66" t="s">
        <v>18</v>
      </c>
      <c r="D68" s="54">
        <v>1</v>
      </c>
      <c r="E68" s="188"/>
      <c r="F68" s="55"/>
    </row>
    <row r="69" spans="1:7" ht="15.95" customHeight="1">
      <c r="A69" s="14"/>
      <c r="B69" s="52"/>
      <c r="C69" s="66"/>
      <c r="D69" s="54"/>
      <c r="E69" s="188"/>
      <c r="F69" s="55"/>
    </row>
    <row r="70" spans="1:7" ht="15.95" customHeight="1">
      <c r="A70" s="1" t="str">
        <f>VLOOKUP(Tabel_Totaal_werkzaamheden250[[#This Row],[OMSCHRIJVING]],Blad1!A:C,3,FALSE)</f>
        <v>3.7</v>
      </c>
      <c r="B70" s="70" t="s">
        <v>174</v>
      </c>
      <c r="C70" s="66"/>
      <c r="D70" s="54"/>
      <c r="E70" s="188"/>
      <c r="F70" s="55"/>
    </row>
    <row r="71" spans="1:7" s="164" customFormat="1" ht="25.5">
      <c r="A71" s="16"/>
      <c r="B71" s="164" t="s">
        <v>340</v>
      </c>
      <c r="C71" s="162" t="s">
        <v>26</v>
      </c>
      <c r="D71" s="156">
        <v>15</v>
      </c>
      <c r="E71" s="193"/>
      <c r="F71" s="157"/>
      <c r="G71" s="163"/>
    </row>
    <row r="72" spans="1:7" ht="15.95" customHeight="1">
      <c r="A72" s="14"/>
      <c r="B72" s="52"/>
      <c r="C72" s="66"/>
      <c r="D72" s="54"/>
      <c r="E72" s="188"/>
      <c r="F72" s="55"/>
    </row>
    <row r="73" spans="1:7" ht="15.95" customHeight="1">
      <c r="A73" s="1" t="str">
        <f>VLOOKUP(Tabel_Totaal_werkzaamheden250[[#This Row],[OMSCHRIJVING]],Blad1!A:C,3,FALSE)</f>
        <v>3.8</v>
      </c>
      <c r="B73" s="72" t="s">
        <v>231</v>
      </c>
      <c r="C73" s="73"/>
      <c r="D73" s="54"/>
      <c r="E73" s="188"/>
      <c r="F73" s="55"/>
    </row>
    <row r="74" spans="1:7" ht="15.95" customHeight="1">
      <c r="A74" s="14"/>
      <c r="B74" s="74" t="s">
        <v>28</v>
      </c>
      <c r="C74" s="73" t="s">
        <v>18</v>
      </c>
      <c r="D74" s="54">
        <v>1</v>
      </c>
      <c r="E74" s="188"/>
      <c r="F74" s="55"/>
    </row>
    <row r="75" spans="1:7" ht="15.95" customHeight="1">
      <c r="A75" s="14"/>
      <c r="B75" s="52"/>
      <c r="C75" s="66"/>
      <c r="D75" s="54"/>
      <c r="E75" s="188"/>
      <c r="F75" s="55"/>
    </row>
    <row r="76" spans="1:7" ht="15.95" customHeight="1">
      <c r="A76" s="1" t="str">
        <f>VLOOKUP(Tabel_Totaal_werkzaamheden250[[#This Row],[OMSCHRIJVING]],Blad1!A:C,3,FALSE)</f>
        <v>3.10</v>
      </c>
      <c r="B76" s="15" t="s">
        <v>499</v>
      </c>
      <c r="C76" s="66"/>
      <c r="D76" s="54"/>
      <c r="E76" s="188"/>
      <c r="F76" s="55"/>
    </row>
    <row r="77" spans="1:7" ht="15.95" customHeight="1">
      <c r="A77" s="14"/>
      <c r="B77" s="52" t="s">
        <v>230</v>
      </c>
      <c r="C77" s="66" t="s">
        <v>18</v>
      </c>
      <c r="D77" s="54">
        <v>1</v>
      </c>
      <c r="E77" s="188"/>
      <c r="F77" s="55"/>
    </row>
    <row r="78" spans="1:7" ht="15.95" customHeight="1">
      <c r="A78" s="14" t="str">
        <f>IF(Tabel_Totaal_werkzaamheden250[[#This Row],[OMSCHRIJVING]]="","",_xlfn.XLOOKUP(Tabel_Totaal_werkzaamheden250[[#This Row],[OMSCHRIJVING]],Verwijzingsblad!$B$2:$B$186,Verwijzingsblad!$A$2:$A$186,""))</f>
        <v/>
      </c>
      <c r="B78" s="52"/>
      <c r="C78" s="66"/>
      <c r="D78" s="54"/>
      <c r="E78" s="188"/>
      <c r="F78" s="55"/>
    </row>
    <row r="79" spans="1:7" ht="15.95" customHeight="1">
      <c r="A79" s="205" t="s">
        <v>155</v>
      </c>
      <c r="B79" s="206"/>
      <c r="C79" s="207"/>
      <c r="D79" s="208" t="str">
        <f>B3</f>
        <v>Brug 2 Jan van Eijckpad</v>
      </c>
      <c r="E79" s="209" t="str">
        <f>A3</f>
        <v>PHO-06</v>
      </c>
      <c r="F79" s="210">
        <f>SUBTOTAL(109,Tabel_Totaal_werkzaamheden250[TOTAALBEDRAG IN EURO])</f>
        <v>0</v>
      </c>
      <c r="G79" s="75"/>
    </row>
    <row r="80" spans="1:7" ht="15.95" customHeight="1">
      <c r="A80" s="15"/>
      <c r="B80" s="52"/>
      <c r="C80" s="52"/>
      <c r="D80" s="76"/>
      <c r="E80" s="191"/>
      <c r="F80" s="77"/>
    </row>
    <row r="81" spans="1:6" ht="15.95" customHeight="1">
      <c r="A81" s="15"/>
      <c r="B81" s="52"/>
      <c r="C81" s="52"/>
      <c r="D81" s="76"/>
      <c r="E81" s="191"/>
      <c r="F81" s="77"/>
    </row>
    <row r="82" spans="1:6" ht="15.95" customHeight="1">
      <c r="A82" s="15"/>
      <c r="B82" s="52"/>
      <c r="C82" s="52"/>
      <c r="D82" s="76"/>
      <c r="E82" s="191"/>
      <c r="F82" s="77"/>
    </row>
    <row r="83" spans="1:6" ht="15.95" customHeight="1">
      <c r="A83" s="15"/>
      <c r="B83" s="52"/>
      <c r="C83" s="52"/>
      <c r="D83" s="76"/>
      <c r="E83" s="191"/>
      <c r="F83" s="77"/>
    </row>
    <row r="84" spans="1:6" ht="15.95" customHeight="1">
      <c r="A84" s="15"/>
      <c r="B84" s="52"/>
      <c r="C84" s="52"/>
      <c r="D84" s="76"/>
      <c r="E84" s="191"/>
      <c r="F84" s="77"/>
    </row>
    <row r="85" spans="1:6" ht="15.95" customHeight="1">
      <c r="A85" s="15"/>
      <c r="B85" s="52"/>
      <c r="C85" s="52"/>
      <c r="D85" s="76"/>
      <c r="E85" s="191"/>
      <c r="F85" s="77"/>
    </row>
    <row r="86" spans="1:6" ht="15.95" customHeight="1">
      <c r="A86" s="15"/>
      <c r="B86" s="52"/>
      <c r="C86" s="52"/>
      <c r="D86" s="76"/>
      <c r="E86" s="191"/>
      <c r="F86" s="77"/>
    </row>
    <row r="87" spans="1:6" ht="15.95" customHeight="1">
      <c r="A87" s="15"/>
      <c r="B87" s="52"/>
      <c r="C87" s="52"/>
      <c r="D87" s="76"/>
      <c r="E87" s="191"/>
      <c r="F87" s="77"/>
    </row>
    <row r="88" spans="1:6" ht="15.95" customHeight="1">
      <c r="A88" s="15"/>
      <c r="B88" s="52"/>
      <c r="C88" s="52"/>
      <c r="D88" s="76"/>
      <c r="E88" s="191"/>
      <c r="F88" s="77"/>
    </row>
    <row r="89" spans="1:6" ht="15.95" customHeight="1">
      <c r="E89" s="192"/>
    </row>
    <row r="90" spans="1:6" ht="15.95" customHeight="1">
      <c r="E90" s="192"/>
    </row>
    <row r="91" spans="1:6" ht="15.95" customHeight="1">
      <c r="E91" s="192"/>
    </row>
    <row r="92" spans="1:6" ht="15.95" customHeight="1">
      <c r="E92" s="192"/>
    </row>
    <row r="93" spans="1:6" ht="15.95" customHeight="1">
      <c r="E93" s="192"/>
    </row>
    <row r="94" spans="1:6" ht="15.95" customHeight="1">
      <c r="E94" s="192"/>
    </row>
    <row r="95" spans="1:6" ht="15.95" customHeight="1">
      <c r="E95" s="192"/>
    </row>
    <row r="96" spans="1:6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7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8" width="9.140625" style="19"/>
    <col min="9" max="9" width="11.85546875" style="19" bestFit="1" customWidth="1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106</v>
      </c>
      <c r="B3" s="23" t="s">
        <v>107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152" t="s">
        <v>260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14</v>
      </c>
      <c r="E5" s="152" t="s">
        <v>262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IF(Tabel_Totaal_werkzaamheden249[[#This Row],[OMSCHRIJVING]]="","",_xlfn.XLOOKUP(Tabel_Totaal_werkzaamheden249[[#This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VLOOKUP(Tabel_Totaal_werkzaamheden249[[#This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VLOOKUP(Tabel_Totaal_werkzaamheden249[[#This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VLOOKUP(Tabel_Totaal_werkzaamheden249[[#This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VLOOKUP(Tabel_Totaal_werkzaamheden249[[#This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VLOOKUP(Tabel_Totaal_werkzaamheden249[[#This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VLOOKUP(Tabel_Totaal_werkzaamheden249[[#This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VLOOKUP(Tabel_Totaal_werkzaamheden249[[#This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VLOOKUP(Tabel_Totaal_werkzaamheden249[[#This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VLOOKUP(Tabel_Totaal_werkzaamheden249[[#This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VLOOKUP(Tabel_Totaal_werkzaamheden249[[#This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VLOOKUP(Tabel_Totaal_werkzaamheden249[[#This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VLOOKUP(Tabel_Totaal_werkzaamheden249[[#This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VLOOKUP(Tabel_Totaal_werkzaamheden249[[#This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290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15</v>
      </c>
      <c r="E51" s="188"/>
      <c r="F51" s="55"/>
      <c r="I51" s="21"/>
    </row>
    <row r="52" spans="1:10" ht="25.5">
      <c r="A52" s="14"/>
      <c r="B52" s="52" t="s">
        <v>327</v>
      </c>
      <c r="C52" s="66" t="s">
        <v>26</v>
      </c>
      <c r="D52" s="54">
        <v>30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VLOOKUP(Tabel_Totaal_werkzaamheden249[[#This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36</v>
      </c>
      <c r="E55" s="188"/>
      <c r="F55" s="55"/>
      <c r="H55" s="21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VLOOKUP(Tabel_Totaal_werkzaamheden249[[#This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  <c r="I58" s="69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28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VLOOKUP(Tabel_Totaal_werkzaamheden249[[#This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60" t="s">
        <v>223</v>
      </c>
      <c r="C67" s="165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25</v>
      </c>
      <c r="C68" s="66" t="s">
        <v>18</v>
      </c>
      <c r="D68" s="54">
        <v>1</v>
      </c>
      <c r="E68" s="188"/>
      <c r="F68" s="55"/>
    </row>
    <row r="69" spans="1:8" ht="15.95" customHeight="1">
      <c r="A69" s="14"/>
      <c r="B69" s="52" t="s">
        <v>185</v>
      </c>
      <c r="C69" s="66" t="s">
        <v>18</v>
      </c>
      <c r="D69" s="54">
        <v>1</v>
      </c>
      <c r="E69" s="188"/>
      <c r="F69" s="55"/>
      <c r="H69" s="21"/>
    </row>
    <row r="70" spans="1:8" ht="15.95" customHeight="1">
      <c r="A70" s="14"/>
      <c r="B70" s="52" t="s">
        <v>547</v>
      </c>
      <c r="C70" s="66" t="s">
        <v>26</v>
      </c>
      <c r="D70" s="54">
        <v>36</v>
      </c>
      <c r="E70" s="188"/>
      <c r="F70" s="55"/>
    </row>
    <row r="71" spans="1:8" ht="15.95" customHeight="1">
      <c r="A71" s="14"/>
      <c r="B71" s="52" t="s">
        <v>27</v>
      </c>
      <c r="C71" s="66" t="s">
        <v>24</v>
      </c>
      <c r="D71" s="54">
        <v>28</v>
      </c>
      <c r="E71" s="188"/>
      <c r="F71" s="55"/>
    </row>
    <row r="72" spans="1:8" ht="15.95" customHeight="1">
      <c r="A72" s="14"/>
      <c r="B72" s="52" t="s">
        <v>245</v>
      </c>
      <c r="C72" s="66" t="s">
        <v>24</v>
      </c>
      <c r="D72" s="54">
        <v>5</v>
      </c>
      <c r="E72" s="188"/>
      <c r="F72" s="55"/>
    </row>
    <row r="73" spans="1:8" ht="15.95" customHeight="1">
      <c r="A73" s="14"/>
      <c r="B73" s="52" t="s">
        <v>171</v>
      </c>
      <c r="C73" s="66" t="s">
        <v>18</v>
      </c>
      <c r="D73" s="54">
        <v>1</v>
      </c>
      <c r="E73" s="188"/>
      <c r="F73" s="55"/>
    </row>
    <row r="74" spans="1:8" ht="15.95" customHeight="1">
      <c r="A74" s="14"/>
      <c r="B74" s="52"/>
      <c r="C74" s="66"/>
      <c r="D74" s="54"/>
      <c r="E74" s="188"/>
      <c r="F74" s="55"/>
    </row>
    <row r="75" spans="1:8" ht="15.95" customHeight="1">
      <c r="A75" s="1" t="str">
        <f>VLOOKUP(Tabel_Totaal_werkzaamheden249[[#This Row],[OMSCHRIJVING]],Blad1!A:C,3,FALSE)</f>
        <v>3.7</v>
      </c>
      <c r="B75" s="70" t="s">
        <v>174</v>
      </c>
      <c r="C75" s="66"/>
      <c r="D75" s="54"/>
      <c r="E75" s="188"/>
      <c r="F75" s="55"/>
    </row>
    <row r="76" spans="1:8" ht="15.95" customHeight="1">
      <c r="A76" s="14"/>
      <c r="B76" s="19" t="s">
        <v>239</v>
      </c>
      <c r="C76" s="66" t="s">
        <v>26</v>
      </c>
      <c r="D76" s="54">
        <v>15</v>
      </c>
      <c r="E76" s="188"/>
      <c r="F76" s="55"/>
    </row>
    <row r="77" spans="1:8" s="164" customFormat="1" ht="25.5">
      <c r="A77" s="16"/>
      <c r="B77" s="164" t="s">
        <v>346</v>
      </c>
      <c r="C77" s="162" t="s">
        <v>26</v>
      </c>
      <c r="D77" s="156">
        <v>30</v>
      </c>
      <c r="E77" s="193"/>
      <c r="F77" s="157"/>
      <c r="G77" s="163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VLOOKUP(Tabel_Totaal_werkzaamheden249[[#This Row],[OMSCHRIJVING]],Blad1!A:C,3,FALSE)</f>
        <v>3.8</v>
      </c>
      <c r="B79" s="72" t="s">
        <v>231</v>
      </c>
      <c r="C79" s="73"/>
      <c r="D79" s="54"/>
      <c r="E79" s="188"/>
      <c r="F79" s="55"/>
    </row>
    <row r="80" spans="1:8" ht="15.95" customHeight="1">
      <c r="A80" s="14"/>
      <c r="B80" s="74" t="s">
        <v>28</v>
      </c>
      <c r="C80" s="73" t="s">
        <v>18</v>
      </c>
      <c r="D80" s="54">
        <v>1</v>
      </c>
      <c r="E80" s="188"/>
      <c r="F80" s="55"/>
    </row>
    <row r="81" spans="1:7" ht="15.95" customHeight="1">
      <c r="A81" s="14"/>
      <c r="B81" s="74"/>
      <c r="C81" s="73"/>
      <c r="D81" s="54"/>
      <c r="E81" s="188"/>
      <c r="F81" s="55"/>
    </row>
    <row r="82" spans="1:7" ht="15.95" customHeight="1">
      <c r="A82" s="1" t="str">
        <f>VLOOKUP(Tabel_Totaal_werkzaamheden249[[#This Row],[OMSCHRIJVING]],Blad1!A:C,3,FALSE)</f>
        <v>3.9</v>
      </c>
      <c r="B82" s="72" t="s">
        <v>184</v>
      </c>
      <c r="C82" s="73"/>
      <c r="D82" s="54"/>
      <c r="E82" s="188"/>
      <c r="F82" s="55"/>
    </row>
    <row r="83" spans="1:7" ht="15.95" customHeight="1">
      <c r="A83" s="219" t="s">
        <v>536</v>
      </c>
      <c r="B83" s="74" t="s">
        <v>328</v>
      </c>
      <c r="C83" s="73" t="s">
        <v>18</v>
      </c>
      <c r="D83" s="54">
        <v>1</v>
      </c>
      <c r="E83" s="188"/>
      <c r="F83" s="55"/>
    </row>
    <row r="84" spans="1:7" ht="15.95" customHeight="1">
      <c r="A84" s="14"/>
      <c r="B84" s="74"/>
      <c r="C84" s="73"/>
      <c r="D84" s="54"/>
      <c r="E84" s="188"/>
      <c r="F84" s="55"/>
    </row>
    <row r="85" spans="1:7" ht="15.95" customHeight="1">
      <c r="A85" s="1" t="str">
        <f>VLOOKUP(Tabel_Totaal_werkzaamheden249[[#This Row],[OMSCHRIJVING]],Blad1!A:C,3,FALSE)</f>
        <v>3.10</v>
      </c>
      <c r="B85" s="15" t="s">
        <v>499</v>
      </c>
      <c r="C85" s="66"/>
      <c r="D85" s="54"/>
      <c r="E85" s="188"/>
      <c r="F85" s="55"/>
    </row>
    <row r="86" spans="1:7" ht="15.95" customHeight="1">
      <c r="A86" s="14"/>
      <c r="B86" s="52" t="s">
        <v>230</v>
      </c>
      <c r="C86" s="66" t="s">
        <v>18</v>
      </c>
      <c r="D86" s="54">
        <v>1</v>
      </c>
      <c r="E86" s="188"/>
      <c r="F86" s="55"/>
    </row>
    <row r="87" spans="1:7" ht="15.95" customHeight="1">
      <c r="A87" s="14" t="str">
        <f>IF(Tabel_Totaal_werkzaamheden249[[#This Row],[OMSCHRIJVING]]="","",_xlfn.XLOOKUP(Tabel_Totaal_werkzaamheden249[[#This Row],[OMSCHRIJVING]],Verwijzingsblad!$B$2:$B$186,Verwijzingsblad!$A$2:$A$186,""))</f>
        <v/>
      </c>
      <c r="B87" s="52"/>
      <c r="C87" s="66"/>
      <c r="D87" s="54"/>
      <c r="E87" s="188"/>
      <c r="F87" s="55"/>
    </row>
    <row r="88" spans="1:7" ht="15.95" customHeight="1">
      <c r="A88" s="205" t="s">
        <v>155</v>
      </c>
      <c r="B88" s="206"/>
      <c r="C88" s="207"/>
      <c r="D88" s="208" t="str">
        <f>B3</f>
        <v>Brug 1 Jan van Eijckpad</v>
      </c>
      <c r="E88" s="209" t="str">
        <f>A3</f>
        <v>PHO-07</v>
      </c>
      <c r="F88" s="210">
        <f>SUBTOTAL(109,Tabel_Totaal_werkzaamheden249[TOTAALBEDRAG IN EURO])</f>
        <v>0</v>
      </c>
      <c r="G88" s="75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1:6" ht="15.95" customHeight="1">
      <c r="A97" s="15"/>
      <c r="B97" s="52"/>
      <c r="C97" s="52"/>
      <c r="D97" s="76"/>
      <c r="E97" s="191"/>
      <c r="F97" s="77"/>
    </row>
    <row r="98" spans="1:6" ht="15.95" customHeight="1">
      <c r="E98" s="192"/>
    </row>
    <row r="99" spans="1:6" ht="15.95" customHeight="1">
      <c r="E99" s="192"/>
    </row>
    <row r="100" spans="1:6" ht="15.95" customHeight="1">
      <c r="E100" s="192"/>
    </row>
    <row r="101" spans="1:6" ht="15.95" customHeight="1">
      <c r="E101" s="192"/>
    </row>
    <row r="102" spans="1:6" ht="15.95" customHeight="1">
      <c r="E102" s="192"/>
    </row>
    <row r="103" spans="1:6" ht="15.95" customHeight="1">
      <c r="E103" s="192"/>
    </row>
    <row r="104" spans="1:6" ht="15.95" customHeight="1">
      <c r="E104" s="192"/>
    </row>
    <row r="105" spans="1:6" ht="15.95" customHeight="1">
      <c r="E105" s="192"/>
    </row>
    <row r="106" spans="1:6" ht="15.95" customHeight="1">
      <c r="E106" s="192"/>
    </row>
    <row r="107" spans="1:6" ht="15.95" customHeight="1">
      <c r="E107" s="192"/>
    </row>
    <row r="108" spans="1:6" ht="15.95" customHeight="1">
      <c r="E108" s="192"/>
    </row>
    <row r="109" spans="1:6" ht="15.95" customHeight="1">
      <c r="E109" s="192"/>
    </row>
    <row r="110" spans="1:6" ht="15.95" customHeight="1">
      <c r="E110" s="192"/>
    </row>
    <row r="111" spans="1:6" ht="15.95" customHeight="1">
      <c r="E111" s="192"/>
    </row>
    <row r="112" spans="1:6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6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108</v>
      </c>
      <c r="B3" s="23" t="s">
        <v>109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2.2000000000000002</v>
      </c>
      <c r="E4" s="31" t="s">
        <v>304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7</v>
      </c>
      <c r="E5" s="31" t="s">
        <v>277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4.5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IF(Tabel_Totaal_werkzaamheden248[[#This Row],[OMSCHRIJVING]]="","",_xlfn.XLOOKUP(Tabel_Totaal_werkzaamheden248[[#This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VLOOKUP(Tabel_Totaal_werkzaamheden248[[#This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VLOOKUP(Tabel_Totaal_werkzaamheden248[[#This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VLOOKUP(Tabel_Totaal_werkzaamheden248[[#This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2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VLOOKUP(Tabel_Totaal_werkzaamheden248[[#This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4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VLOOKUP(Tabel_Totaal_werkzaamheden248[[#This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2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4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4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VLOOKUP(Tabel_Totaal_werkzaamheden248[[#This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4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VLOOKUP(Tabel_Totaal_werkzaamheden248[[#This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4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4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4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VLOOKUP(Tabel_Totaal_werkzaamheden248[[#This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VLOOKUP(Tabel_Totaal_werkzaamheden248[[#This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4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4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VLOOKUP(Tabel_Totaal_werkzaamheden248[[#This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4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4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VLOOKUP(Tabel_Totaal_werkzaamheden248[[#This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4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4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4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VLOOKUP(Tabel_Totaal_werkzaamheden248[[#This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4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 t="s">
        <v>209</v>
      </c>
      <c r="C48" s="66" t="s">
        <v>26</v>
      </c>
      <c r="D48" s="54">
        <v>6</v>
      </c>
      <c r="E48" s="188"/>
      <c r="F48" s="55"/>
      <c r="I48" s="21"/>
    </row>
    <row r="49" spans="1:10" ht="15.95" customHeight="1">
      <c r="A49" s="14"/>
      <c r="B49" s="52" t="s">
        <v>237</v>
      </c>
      <c r="C49" s="66" t="s">
        <v>26</v>
      </c>
      <c r="D49" s="54">
        <v>22</v>
      </c>
      <c r="E49" s="188"/>
      <c r="F49" s="55"/>
      <c r="I49" s="21"/>
    </row>
    <row r="50" spans="1:10" ht="15.95" customHeight="1">
      <c r="A50" s="14"/>
      <c r="B50" s="52"/>
      <c r="C50" s="66"/>
      <c r="D50" s="54"/>
      <c r="E50" s="188"/>
      <c r="F50" s="55"/>
    </row>
    <row r="51" spans="1:10" ht="15.95" customHeight="1">
      <c r="A51" s="1" t="str">
        <f>VLOOKUP(Tabel_Totaal_werkzaamheden248[[#This Row],[OMSCHRIJVING]],Blad1!A:C,3,FALSE)</f>
        <v>3.4</v>
      </c>
      <c r="B51" s="70" t="s">
        <v>543</v>
      </c>
      <c r="C51" s="66"/>
      <c r="D51" s="54"/>
      <c r="E51" s="188"/>
      <c r="F51" s="55"/>
    </row>
    <row r="52" spans="1:10" ht="15.95" customHeight="1">
      <c r="A52" s="14"/>
      <c r="B52" s="60" t="s">
        <v>545</v>
      </c>
      <c r="C52" s="66" t="s">
        <v>26</v>
      </c>
      <c r="D52" s="54">
        <v>16</v>
      </c>
      <c r="E52" s="188"/>
      <c r="F52" s="55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VLOOKUP(Tabel_Totaal_werkzaamheden248[[#This Row],[OMSCHRIJVING]],Blad1!A:C,3,FALSE)</f>
        <v>3.5</v>
      </c>
      <c r="B54" s="70" t="s">
        <v>169</v>
      </c>
      <c r="C54" s="66"/>
      <c r="D54" s="54"/>
      <c r="E54" s="188"/>
      <c r="F54" s="55"/>
    </row>
    <row r="55" spans="1:10" ht="15.95" customHeight="1">
      <c r="A55" s="14"/>
      <c r="B55" s="19" t="s">
        <v>179</v>
      </c>
      <c r="C55" s="66" t="s">
        <v>18</v>
      </c>
      <c r="D55" s="54">
        <v>1</v>
      </c>
      <c r="E55" s="188"/>
      <c r="F55" s="55"/>
    </row>
    <row r="56" spans="1:10" ht="15.95" customHeight="1">
      <c r="A56" s="14"/>
      <c r="B56" s="19" t="s">
        <v>170</v>
      </c>
      <c r="C56" s="66" t="s">
        <v>18</v>
      </c>
      <c r="D56" s="54">
        <v>1</v>
      </c>
      <c r="E56" s="188"/>
      <c r="F56" s="55"/>
    </row>
    <row r="57" spans="1:10" ht="15.95" customHeight="1">
      <c r="A57" s="14"/>
      <c r="B57" s="19" t="s">
        <v>178</v>
      </c>
      <c r="C57" s="66" t="s">
        <v>24</v>
      </c>
      <c r="D57" s="54">
        <v>14</v>
      </c>
      <c r="E57" s="188"/>
      <c r="F57" s="55"/>
      <c r="I57" s="71"/>
      <c r="J57" s="71"/>
    </row>
    <row r="58" spans="1:10" ht="15.95" customHeight="1">
      <c r="A58" s="14"/>
      <c r="B58" s="52"/>
      <c r="C58" s="66"/>
      <c r="D58" s="54"/>
      <c r="E58" s="188"/>
      <c r="F58" s="55"/>
    </row>
    <row r="59" spans="1:10" ht="15.95" customHeight="1">
      <c r="A59" s="1" t="str">
        <f>VLOOKUP(Tabel_Totaal_werkzaamheden248[[#This Row],[OMSCHRIJVING]],Blad1!A:C,3,FALSE)</f>
        <v>3.6</v>
      </c>
      <c r="B59" s="15" t="s">
        <v>472</v>
      </c>
      <c r="C59" s="66"/>
      <c r="D59" s="54"/>
      <c r="E59" s="188"/>
      <c r="F59" s="55"/>
    </row>
    <row r="60" spans="1:10" ht="15.95" customHeight="1">
      <c r="A60" s="14"/>
      <c r="B60" s="52" t="s">
        <v>186</v>
      </c>
      <c r="C60" s="66" t="s">
        <v>18</v>
      </c>
      <c r="D60" s="54">
        <v>1</v>
      </c>
      <c r="E60" s="188"/>
      <c r="F60" s="55"/>
      <c r="G60" s="67"/>
    </row>
    <row r="61" spans="1:10" ht="15.95" customHeight="1">
      <c r="A61" s="14"/>
      <c r="B61" s="52" t="s">
        <v>167</v>
      </c>
      <c r="C61" s="66" t="s">
        <v>18</v>
      </c>
      <c r="D61" s="54">
        <v>1</v>
      </c>
      <c r="E61" s="188"/>
      <c r="F61" s="55"/>
    </row>
    <row r="62" spans="1:10" ht="15.95" customHeight="1">
      <c r="A62" s="14"/>
      <c r="B62" s="60" t="s">
        <v>172</v>
      </c>
      <c r="C62" s="66" t="s">
        <v>18</v>
      </c>
      <c r="D62" s="54">
        <v>1</v>
      </c>
      <c r="E62" s="188"/>
      <c r="F62" s="55"/>
    </row>
    <row r="63" spans="1:10" ht="15.95" customHeight="1">
      <c r="A63" s="14"/>
      <c r="B63" s="52" t="s">
        <v>23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52" t="s">
        <v>25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185</v>
      </c>
      <c r="C65" s="66" t="s">
        <v>18</v>
      </c>
      <c r="D65" s="54">
        <v>1</v>
      </c>
      <c r="E65" s="188"/>
      <c r="F65" s="55"/>
      <c r="H65" s="21"/>
    </row>
    <row r="66" spans="1:8" ht="15.95" customHeight="1">
      <c r="A66" s="14"/>
      <c r="B66" s="52" t="s">
        <v>547</v>
      </c>
      <c r="C66" s="66" t="s">
        <v>26</v>
      </c>
      <c r="D66" s="54">
        <v>16</v>
      </c>
      <c r="E66" s="188"/>
      <c r="F66" s="55"/>
    </row>
    <row r="67" spans="1:8" ht="15.95" customHeight="1">
      <c r="A67" s="14"/>
      <c r="B67" s="52" t="s">
        <v>27</v>
      </c>
      <c r="C67" s="66" t="s">
        <v>24</v>
      </c>
      <c r="D67" s="54">
        <v>14</v>
      </c>
      <c r="E67" s="188"/>
      <c r="F67" s="55"/>
    </row>
    <row r="68" spans="1:8" ht="15.95" customHeight="1">
      <c r="A68" s="14"/>
      <c r="B68" s="52" t="s">
        <v>181</v>
      </c>
      <c r="C68" s="66" t="s">
        <v>24</v>
      </c>
      <c r="D68" s="54">
        <v>13</v>
      </c>
      <c r="E68" s="188"/>
      <c r="F68" s="55"/>
    </row>
    <row r="69" spans="1:8" ht="15.95" customHeight="1">
      <c r="A69" s="14"/>
      <c r="B69" s="52" t="s">
        <v>171</v>
      </c>
      <c r="C69" s="66" t="s">
        <v>18</v>
      </c>
      <c r="D69" s="54">
        <v>1</v>
      </c>
      <c r="E69" s="188"/>
      <c r="F69" s="55"/>
    </row>
    <row r="70" spans="1:8" ht="15.95" customHeight="1">
      <c r="A70" s="14"/>
      <c r="B70" s="52"/>
      <c r="C70" s="66"/>
      <c r="D70" s="54"/>
      <c r="E70" s="188"/>
      <c r="F70" s="55"/>
    </row>
    <row r="71" spans="1:8" ht="15.95" customHeight="1">
      <c r="A71" s="1" t="str">
        <f>VLOOKUP(Tabel_Totaal_werkzaamheden248[[#This Row],[OMSCHRIJVING]],Blad1!A:C,3,FALSE)</f>
        <v>3.7</v>
      </c>
      <c r="B71" s="70" t="s">
        <v>174</v>
      </c>
      <c r="C71" s="66"/>
      <c r="D71" s="54"/>
      <c r="E71" s="188"/>
      <c r="F71" s="55"/>
    </row>
    <row r="72" spans="1:8" ht="15.95" customHeight="1">
      <c r="A72" s="14"/>
      <c r="B72" s="19" t="s">
        <v>239</v>
      </c>
      <c r="C72" s="66" t="s">
        <v>26</v>
      </c>
      <c r="D72" s="54">
        <v>6</v>
      </c>
      <c r="E72" s="188"/>
      <c r="F72" s="55"/>
    </row>
    <row r="73" spans="1:8" s="164" customFormat="1" ht="25.5">
      <c r="A73" s="16"/>
      <c r="B73" s="164" t="s">
        <v>340</v>
      </c>
      <c r="C73" s="162" t="s">
        <v>26</v>
      </c>
      <c r="D73" s="156">
        <v>22</v>
      </c>
      <c r="E73" s="193"/>
      <c r="F73" s="157"/>
      <c r="G73" s="163"/>
    </row>
    <row r="74" spans="1:8" ht="15.95" customHeight="1">
      <c r="A74" s="14"/>
      <c r="B74" s="52"/>
      <c r="C74" s="66"/>
      <c r="D74" s="54"/>
      <c r="E74" s="188"/>
      <c r="F74" s="55"/>
    </row>
    <row r="75" spans="1:8" ht="15.95" customHeight="1">
      <c r="A75" s="1" t="str">
        <f>VLOOKUP(Tabel_Totaal_werkzaamheden248[[#This Row],[OMSCHRIJVING]],Blad1!A:C,3,FALSE)</f>
        <v>3.8</v>
      </c>
      <c r="B75" s="72" t="s">
        <v>231</v>
      </c>
      <c r="C75" s="73"/>
      <c r="D75" s="54"/>
      <c r="E75" s="188"/>
      <c r="F75" s="55"/>
    </row>
    <row r="76" spans="1:8" ht="15.95" customHeight="1">
      <c r="A76" s="14"/>
      <c r="B76" s="74" t="s">
        <v>28</v>
      </c>
      <c r="C76" s="73" t="s">
        <v>18</v>
      </c>
      <c r="D76" s="54">
        <v>1</v>
      </c>
      <c r="E76" s="188"/>
      <c r="F76" s="55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VLOOKUP(Tabel_Totaal_werkzaamheden248[[#This Row],[OMSCHRIJVING]],Blad1!A:C,3,FALSE)</f>
        <v>3.9</v>
      </c>
      <c r="B78" s="72" t="s">
        <v>184</v>
      </c>
      <c r="C78" s="73"/>
      <c r="D78" s="54"/>
      <c r="E78" s="188"/>
      <c r="F78" s="55"/>
    </row>
    <row r="79" spans="1:8" s="97" customFormat="1" ht="15.95" customHeight="1">
      <c r="A79" s="219" t="s">
        <v>535</v>
      </c>
      <c r="B79" s="74" t="s">
        <v>224</v>
      </c>
      <c r="C79" s="73" t="s">
        <v>18</v>
      </c>
      <c r="D79" s="54">
        <v>1</v>
      </c>
      <c r="E79" s="188"/>
      <c r="F79" s="55"/>
      <c r="G79" s="96"/>
    </row>
    <row r="80" spans="1:8" ht="15.95" customHeight="1">
      <c r="A80" s="14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VLOOKUP(Tabel_Totaal_werkzaamheden248[[#This Row],[OMSCHRIJVING]],Blad1!A:C,3,FALSE)</f>
        <v>3.10</v>
      </c>
      <c r="B81" s="15" t="s">
        <v>499</v>
      </c>
      <c r="C81" s="66"/>
      <c r="D81" s="54"/>
      <c r="E81" s="188"/>
      <c r="F81" s="55"/>
    </row>
    <row r="82" spans="1:7" ht="15.95" customHeight="1">
      <c r="A82" s="14"/>
      <c r="B82" s="52" t="s">
        <v>230</v>
      </c>
      <c r="C82" s="66" t="s">
        <v>18</v>
      </c>
      <c r="D82" s="54">
        <v>1</v>
      </c>
      <c r="E82" s="188"/>
      <c r="F82" s="55"/>
    </row>
    <row r="83" spans="1:7" ht="15.95" customHeight="1">
      <c r="A83" s="14" t="str">
        <f>IF(Tabel_Totaal_werkzaamheden248[[#This Row],[OMSCHRIJVING]]="","",_xlfn.XLOOKUP(Tabel_Totaal_werkzaamheden248[[#This Row],[OMSCHRIJVING]],Verwijzingsblad!$B$2:$B$186,Verwijzingsblad!$A$2:$A$186,""))</f>
        <v/>
      </c>
      <c r="B83" s="52"/>
      <c r="C83" s="66"/>
      <c r="D83" s="54"/>
      <c r="E83" s="188"/>
      <c r="F83" s="55"/>
    </row>
    <row r="84" spans="1:7" ht="15.95" customHeight="1">
      <c r="A84" s="205" t="s">
        <v>155</v>
      </c>
      <c r="B84" s="206"/>
      <c r="C84" s="207"/>
      <c r="D84" s="208" t="str">
        <f>B3</f>
        <v>Brug Borgtweg</v>
      </c>
      <c r="E84" s="209" t="str">
        <f>A3</f>
        <v>PHW-01</v>
      </c>
      <c r="F84" s="210">
        <f>SUBTOTAL(109,Tabel_Totaal_werkzaamheden248[TOTAALBEDRAG IN EURO])</f>
        <v>0</v>
      </c>
      <c r="G84" s="75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5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110</v>
      </c>
      <c r="B3" s="23" t="s">
        <v>111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2.1</v>
      </c>
      <c r="E4" s="152" t="s">
        <v>264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</v>
      </c>
      <c r="E5" s="152" t="s">
        <v>263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IF(Tabel_Totaal_werkzaamheden247[[#This Row],[OMSCHRIJVING]]="","",_xlfn.XLOOKUP(Tabel_Totaal_werkzaamheden247[[#This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VLOOKUP(Tabel_Totaal_werkzaamheden247[[#This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VLOOKUP(Tabel_Totaal_werkzaamheden247[[#This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VLOOKUP(Tabel_Totaal_werkzaamheden247[[#This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VLOOKUP(Tabel_Totaal_werkzaamheden247[[#This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VLOOKUP(Tabel_Totaal_werkzaamheden247[[#This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VLOOKUP(Tabel_Totaal_werkzaamheden247[[#This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VLOOKUP(Tabel_Totaal_werkzaamheden247[[#This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VLOOKUP(Tabel_Totaal_werkzaamheden247[[#This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VLOOKUP(Tabel_Totaal_werkzaamheden247[[#This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VLOOKUP(Tabel_Totaal_werkzaamheden247[[#This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VLOOKUP(Tabel_Totaal_werkzaamheden247[[#This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VLOOKUP(Tabel_Totaal_werkzaamheden247[[#This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VLOOKUP(Tabel_Totaal_werkzaamheden247[[#This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291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54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VLOOKUP(Tabel_Totaal_werkzaamheden247[[#This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38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VLOOKUP(Tabel_Totaal_werkzaamheden247[[#This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36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VLOOKUP(Tabel_Totaal_werkzaamheden247[[#This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542</v>
      </c>
      <c r="C68" s="66" t="s">
        <v>26</v>
      </c>
      <c r="D68" s="54">
        <v>38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36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8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VLOOKUP(Tabel_Totaal_werkzaamheden247[[#This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6"/>
      <c r="B74" s="164" t="s">
        <v>340</v>
      </c>
      <c r="C74" s="162" t="s">
        <v>26</v>
      </c>
      <c r="D74" s="156">
        <v>54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VLOOKUP(Tabel_Totaal_werkzaamheden247[[#This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4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VLOOKUP(Tabel_Totaal_werkzaamheden247[[#This Row],[OMSCHRIJVING]],Blad1!A:C,3,FALSE)</f>
        <v>3.9</v>
      </c>
      <c r="B79" s="72" t="s">
        <v>184</v>
      </c>
      <c r="C79" s="73"/>
      <c r="D79" s="54"/>
      <c r="E79" s="188"/>
      <c r="F79" s="55"/>
    </row>
    <row r="80" spans="1:8" s="159" customFormat="1" ht="25.5">
      <c r="A80" s="220" t="s">
        <v>537</v>
      </c>
      <c r="B80" s="154" t="s">
        <v>217</v>
      </c>
      <c r="C80" s="155" t="s">
        <v>18</v>
      </c>
      <c r="D80" s="156">
        <v>1</v>
      </c>
      <c r="E80" s="193"/>
      <c r="F80" s="157"/>
      <c r="G80" s="158"/>
    </row>
    <row r="81" spans="1:7" s="159" customFormat="1" ht="25.5">
      <c r="A81" s="220" t="s">
        <v>537</v>
      </c>
      <c r="B81" s="166" t="s">
        <v>218</v>
      </c>
      <c r="C81" s="155" t="s">
        <v>18</v>
      </c>
      <c r="D81" s="156">
        <v>1</v>
      </c>
      <c r="E81" s="193"/>
      <c r="F81" s="157"/>
      <c r="G81" s="158"/>
    </row>
    <row r="82" spans="1:7" s="159" customFormat="1" ht="12.75">
      <c r="A82" s="220" t="s">
        <v>489</v>
      </c>
      <c r="B82" s="154" t="s">
        <v>329</v>
      </c>
      <c r="C82" s="155" t="s">
        <v>18</v>
      </c>
      <c r="D82" s="156">
        <v>1</v>
      </c>
      <c r="E82" s="193"/>
      <c r="F82" s="157"/>
      <c r="G82" s="158"/>
    </row>
    <row r="83" spans="1:7" ht="15.95" customHeight="1">
      <c r="A83" s="12"/>
      <c r="B83" s="52"/>
      <c r="C83" s="66"/>
      <c r="D83" s="54"/>
      <c r="E83" s="188"/>
      <c r="F83" s="55"/>
    </row>
    <row r="84" spans="1:7" ht="15.95" customHeight="1">
      <c r="A84" s="1" t="str">
        <f>VLOOKUP(Tabel_Totaal_werkzaamheden247[[#This Row],[OMSCHRIJVING]],Blad1!A:C,3,FALSE)</f>
        <v>3.10</v>
      </c>
      <c r="B84" s="15" t="s">
        <v>499</v>
      </c>
      <c r="C84" s="66"/>
      <c r="D84" s="54"/>
      <c r="E84" s="188"/>
      <c r="F84" s="55"/>
    </row>
    <row r="85" spans="1:7" ht="15.95" customHeight="1">
      <c r="A85" s="14"/>
      <c r="B85" s="52" t="s">
        <v>230</v>
      </c>
      <c r="C85" s="66" t="s">
        <v>18</v>
      </c>
      <c r="D85" s="54">
        <v>1</v>
      </c>
      <c r="E85" s="188"/>
      <c r="F85" s="55"/>
    </row>
    <row r="86" spans="1:7" ht="15.95" customHeight="1">
      <c r="A86" s="14" t="str">
        <f>IF(Tabel_Totaal_werkzaamheden247[[#This Row],[OMSCHRIJVING]]="","",_xlfn.XLOOKUP(Tabel_Totaal_werkzaamheden247[[#This Row],[OMSCHRIJVING]],Verwijzingsblad!$B$2:$B$186,Verwijzingsblad!$A$2:$A$186,""))</f>
        <v/>
      </c>
      <c r="B86" s="52"/>
      <c r="C86" s="66"/>
      <c r="D86" s="54"/>
      <c r="E86" s="188"/>
      <c r="F86" s="55"/>
    </row>
    <row r="87" spans="1:7" ht="15.95" customHeight="1">
      <c r="A87" s="211" t="s">
        <v>155</v>
      </c>
      <c r="B87" s="212"/>
      <c r="C87" s="213"/>
      <c r="D87" s="214" t="str">
        <f>B3</f>
        <v>Brug Jan Sluyterspad</v>
      </c>
      <c r="E87" s="215" t="str">
        <f>A3</f>
        <v>SCK-01</v>
      </c>
      <c r="F87" s="216">
        <f>SUBTOTAL(109,Tabel_Totaal_werkzaamheden247[TOTAALBEDRAG IN EURO])</f>
        <v>0</v>
      </c>
      <c r="G87" s="75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4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8" width="9.140625" style="19"/>
    <col min="9" max="9" width="11.85546875" style="19" bestFit="1" customWidth="1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112</v>
      </c>
      <c r="B3" s="23" t="s">
        <v>113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2.1</v>
      </c>
      <c r="E4" s="31" t="s">
        <v>311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21</v>
      </c>
      <c r="E5" s="31" t="s">
        <v>312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IF(Tabel_Totaal_werkzaamheden246[[#This Row],[OMSCHRIJVING]]="","",_xlfn.XLOOKUP(Tabel_Totaal_werkzaamheden246[[#This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VLOOKUP(Tabel_Totaal_werkzaamheden246[[#This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VLOOKUP(Tabel_Totaal_werkzaamheden246[[#This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VLOOKUP(Tabel_Totaal_werkzaamheden246[[#This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VLOOKUP(Tabel_Totaal_werkzaamheden246[[#This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VLOOKUP(Tabel_Totaal_werkzaamheden246[[#This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VLOOKUP(Tabel_Totaal_werkzaamheden246[[#This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VLOOKUP(Tabel_Totaal_werkzaamheden246[[#This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VLOOKUP(Tabel_Totaal_werkzaamheden246[[#This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VLOOKUP(Tabel_Totaal_werkzaamheden246[[#This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VLOOKUP(Tabel_Totaal_werkzaamheden246[[#This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VLOOKUP(Tabel_Totaal_werkzaamheden246[[#This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VLOOKUP(Tabel_Totaal_werkzaamheden246[[#This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VLOOKUP(Tabel_Totaal_werkzaamheden246[[#This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7.5</v>
      </c>
      <c r="E51" s="188"/>
      <c r="F51" s="55"/>
      <c r="I51" s="21"/>
    </row>
    <row r="52" spans="1:10" ht="15.95" customHeight="1">
      <c r="A52" s="14"/>
      <c r="B52" s="52" t="s">
        <v>237</v>
      </c>
      <c r="C52" s="66" t="s">
        <v>26</v>
      </c>
      <c r="D52" s="54">
        <v>18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VLOOKUP(Tabel_Totaal_werkzaamheden246[[#This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47</v>
      </c>
      <c r="E55" s="188"/>
      <c r="F55" s="55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VLOOKUP(Tabel_Totaal_werkzaamheden246[[#This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  <c r="I58" s="69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44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VLOOKUP(Tabel_Totaal_werkzaamheden246[[#This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4"/>
      <c r="B69" s="52" t="s">
        <v>542</v>
      </c>
      <c r="C69" s="66" t="s">
        <v>26</v>
      </c>
      <c r="D69" s="54">
        <v>47</v>
      </c>
      <c r="E69" s="188"/>
      <c r="F69" s="55"/>
    </row>
    <row r="70" spans="1:8" ht="15.95" customHeight="1">
      <c r="A70" s="14"/>
      <c r="B70" s="52" t="s">
        <v>27</v>
      </c>
      <c r="C70" s="66" t="s">
        <v>24</v>
      </c>
      <c r="D70" s="54">
        <v>44</v>
      </c>
      <c r="E70" s="188"/>
      <c r="F70" s="55"/>
    </row>
    <row r="71" spans="1:8" ht="15.95" customHeight="1">
      <c r="A71" s="14"/>
      <c r="B71" s="52" t="s">
        <v>181</v>
      </c>
      <c r="C71" s="66" t="s">
        <v>24</v>
      </c>
      <c r="D71" s="54">
        <v>12</v>
      </c>
      <c r="E71" s="188"/>
      <c r="F71" s="55"/>
    </row>
    <row r="72" spans="1:8" ht="15.95" customHeight="1">
      <c r="A72" s="14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4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VLOOKUP(Tabel_Totaal_werkzaamheden246[[#This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ht="15.95" customHeight="1">
      <c r="A75" s="14"/>
      <c r="B75" s="19" t="s">
        <v>239</v>
      </c>
      <c r="C75" s="66" t="s">
        <v>26</v>
      </c>
      <c r="D75" s="54">
        <v>7.5</v>
      </c>
      <c r="E75" s="188"/>
      <c r="F75" s="55"/>
    </row>
    <row r="76" spans="1:8" s="164" customFormat="1" ht="25.5">
      <c r="A76" s="16"/>
      <c r="B76" s="164" t="s">
        <v>340</v>
      </c>
      <c r="C76" s="162" t="s">
        <v>26</v>
      </c>
      <c r="D76" s="156">
        <v>18</v>
      </c>
      <c r="E76" s="193"/>
      <c r="F76" s="157"/>
      <c r="G76" s="163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VLOOKUP(Tabel_Totaal_werkzaamheden246[[#This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4"/>
      <c r="B79" s="74" t="s">
        <v>28</v>
      </c>
      <c r="C79" s="73" t="s">
        <v>18</v>
      </c>
      <c r="D79" s="54">
        <v>1</v>
      </c>
      <c r="E79" s="188"/>
      <c r="F79" s="55"/>
    </row>
    <row r="80" spans="1:8" ht="12.75">
      <c r="A80" s="14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VLOOKUP(Tabel_Totaal_werkzaamheden246[[#This Row],[OMSCHRIJVING]],Blad1!A:C,3,FALSE)</f>
        <v>3.10</v>
      </c>
      <c r="B81" s="15" t="s">
        <v>499</v>
      </c>
      <c r="C81" s="66"/>
      <c r="D81" s="54"/>
      <c r="E81" s="188"/>
      <c r="F81" s="55"/>
    </row>
    <row r="82" spans="1:7" ht="15.95" customHeight="1">
      <c r="A82" s="14"/>
      <c r="B82" s="52" t="s">
        <v>230</v>
      </c>
      <c r="C82" s="66" t="s">
        <v>18</v>
      </c>
      <c r="D82" s="54">
        <v>1</v>
      </c>
      <c r="E82" s="188"/>
      <c r="F82" s="55"/>
    </row>
    <row r="83" spans="1:7" ht="15.95" customHeight="1">
      <c r="A83" s="14" t="str">
        <f>IF(Tabel_Totaal_werkzaamheden246[[#This Row],[OMSCHRIJVING]]="","",_xlfn.XLOOKUP(Tabel_Totaal_werkzaamheden246[[#This Row],[OMSCHRIJVING]],Verwijzingsblad!$B$2:$B$186,Verwijzingsblad!$A$2:$A$186,""))</f>
        <v/>
      </c>
      <c r="B83" s="52"/>
      <c r="C83" s="66"/>
      <c r="D83" s="54"/>
      <c r="E83" s="188"/>
      <c r="F83" s="55"/>
    </row>
    <row r="84" spans="1:7" ht="15.95" customHeight="1">
      <c r="A84" s="205" t="s">
        <v>155</v>
      </c>
      <c r="B84" s="206"/>
      <c r="C84" s="207"/>
      <c r="D84" s="208" t="str">
        <f>B3</f>
        <v>Brug Westersingel</v>
      </c>
      <c r="E84" s="209" t="str">
        <f>A3</f>
        <v>SCK-02</v>
      </c>
      <c r="F84" s="210">
        <f>SUBTOTAL(109,Tabel_Totaal_werkzaamheden246[TOTAALBEDRAG IN EURO])</f>
        <v>0</v>
      </c>
      <c r="G84" s="75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8" width="9.140625" style="19"/>
    <col min="9" max="9" width="11.85546875" style="19" bestFit="1" customWidth="1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114</v>
      </c>
      <c r="B3" s="23" t="s">
        <v>115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152" t="s">
        <v>266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19.2</v>
      </c>
      <c r="E5" s="152" t="s">
        <v>265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IF(Tabel_Totaal_werkzaamheden245[[#This Row],[OMSCHRIJVING]]="","",_xlfn.XLOOKUP(Tabel_Totaal_werkzaamheden245[[#This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VLOOKUP(Tabel_Totaal_werkzaamheden245[[#This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VLOOKUP(Tabel_Totaal_werkzaamheden245[[#This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VLOOKUP(Tabel_Totaal_werkzaamheden245[[#This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VLOOKUP(Tabel_Totaal_werkzaamheden245[[#This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VLOOKUP(Tabel_Totaal_werkzaamheden245[[#This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VLOOKUP(Tabel_Totaal_werkzaamheden245[[#This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VLOOKUP(Tabel_Totaal_werkzaamheden245[[#This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VLOOKUP(Tabel_Totaal_werkzaamheden245[[#This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VLOOKUP(Tabel_Totaal_werkzaamheden245[[#This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VLOOKUP(Tabel_Totaal_werkzaamheden245[[#This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VLOOKUP(Tabel_Totaal_werkzaamheden245[[#This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VLOOKUP(Tabel_Totaal_werkzaamheden245[[#This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VLOOKUP(Tabel_Totaal_werkzaamheden245[[#This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25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VLOOKUP(Tabel_Totaal_werkzaamheden245[[#This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58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VLOOKUP(Tabel_Totaal_werkzaamheden245[[#This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  <c r="I57" s="69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39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VLOOKUP(Tabel_Totaal_werkzaamheden245[[#This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547</v>
      </c>
      <c r="C68" s="66" t="s">
        <v>26</v>
      </c>
      <c r="D68" s="54">
        <v>58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39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14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VLOOKUP(Tabel_Totaal_werkzaamheden245[[#This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38.25">
      <c r="A74" s="16"/>
      <c r="B74" s="164" t="s">
        <v>347</v>
      </c>
      <c r="C74" s="162" t="s">
        <v>26</v>
      </c>
      <c r="D74" s="156">
        <v>25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VLOOKUP(Tabel_Totaal_werkzaamheden245[[#This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4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VLOOKUP(Tabel_Totaal_werkzaamheden245[[#This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4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4" t="str">
        <f>IF(Tabel_Totaal_werkzaamheden245[[#This Row],[OMSCHRIJVING]]="","",_xlfn.XLOOKUP(Tabel_Totaal_werkzaamheden245[[#This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Kometenstraat</v>
      </c>
      <c r="E82" s="209" t="str">
        <f>A3</f>
        <v>STK-04</v>
      </c>
      <c r="F82" s="210">
        <f>SUBTOTAL(109,Tabel_Totaal_werkzaamheden245[TOTAALBEDRAG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6" ht="15.95" customHeight="1">
      <c r="A1" s="261" t="s">
        <v>41</v>
      </c>
      <c r="B1" s="262"/>
      <c r="C1" s="262"/>
      <c r="D1" s="262"/>
      <c r="E1" s="262"/>
      <c r="F1" s="262"/>
    </row>
    <row r="2" spans="1:6" ht="15.95" customHeight="1" thickBot="1">
      <c r="A2" s="263"/>
      <c r="B2" s="264"/>
      <c r="C2" s="264"/>
      <c r="D2" s="264"/>
      <c r="E2" s="264"/>
      <c r="F2" s="264"/>
    </row>
    <row r="3" spans="1:6" ht="15.75" customHeight="1" thickBot="1">
      <c r="A3" s="22" t="s">
        <v>46</v>
      </c>
      <c r="B3" s="23" t="s">
        <v>47</v>
      </c>
      <c r="C3" s="24"/>
      <c r="D3" s="24"/>
      <c r="E3" s="25"/>
      <c r="F3" s="26"/>
    </row>
    <row r="4" spans="1:6" ht="15.75" customHeight="1">
      <c r="A4" s="242"/>
      <c r="B4" s="221" t="s">
        <v>168</v>
      </c>
      <c r="C4" s="222" t="s">
        <v>225</v>
      </c>
      <c r="D4" s="223">
        <v>5</v>
      </c>
      <c r="E4" s="224" t="s">
        <v>246</v>
      </c>
      <c r="F4" s="243"/>
    </row>
    <row r="5" spans="1:6" ht="15.75" customHeight="1">
      <c r="A5" s="27"/>
      <c r="B5" s="28" t="s">
        <v>315</v>
      </c>
      <c r="C5" s="29" t="s">
        <v>225</v>
      </c>
      <c r="D5" s="30">
        <v>14.6</v>
      </c>
      <c r="E5" s="31" t="s">
        <v>269</v>
      </c>
      <c r="F5" s="32"/>
    </row>
    <row r="6" spans="1:6" ht="15.75" customHeight="1" thickBot="1">
      <c r="A6" s="33"/>
      <c r="B6" s="33"/>
      <c r="C6" s="29"/>
      <c r="D6" s="30"/>
      <c r="E6" s="34"/>
      <c r="F6" s="34"/>
    </row>
    <row r="7" spans="1:6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</row>
    <row r="8" spans="1:6" ht="15.95" customHeight="1">
      <c r="A8" s="1"/>
      <c r="B8" s="41"/>
      <c r="C8" s="42"/>
      <c r="D8" s="42"/>
      <c r="E8" s="186"/>
      <c r="F8" s="43"/>
    </row>
    <row r="9" spans="1:6" ht="15.95" customHeight="1">
      <c r="A9" s="1" t="str">
        <f>VLOOKUP(Tabel_Totaal_werkzaamheden23[[#This Row],[OMSCHRIJVING]],Blad1!A:C,3,FALSE)</f>
        <v>2.4.13</v>
      </c>
      <c r="B9" s="44" t="s">
        <v>157</v>
      </c>
      <c r="C9" s="45"/>
      <c r="D9" s="46"/>
      <c r="E9" s="187"/>
      <c r="F9" s="47"/>
    </row>
    <row r="10" spans="1:6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</row>
    <row r="11" spans="1:6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</row>
    <row r="12" spans="1:6" ht="15.95" customHeight="1">
      <c r="A12" s="1"/>
      <c r="B12" s="52"/>
      <c r="C12" s="53"/>
      <c r="D12" s="54"/>
      <c r="E12" s="188"/>
      <c r="F12" s="55"/>
    </row>
    <row r="13" spans="1:6" ht="15.95" customHeight="1">
      <c r="A13" s="1" t="str">
        <f>VLOOKUP(Tabel_Totaal_werkzaamheden23[[#This Row],[OMSCHRIJVING]],Blad1!A:C,3,FALSE)</f>
        <v>2.4.15</v>
      </c>
      <c r="B13" s="56" t="s">
        <v>42</v>
      </c>
      <c r="C13" s="57"/>
      <c r="D13" s="58"/>
      <c r="E13" s="189"/>
      <c r="F13" s="59"/>
    </row>
    <row r="14" spans="1:6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</row>
    <row r="15" spans="1:6" ht="15.95" customHeight="1">
      <c r="A15" s="1"/>
      <c r="B15" s="60"/>
      <c r="C15" s="61"/>
      <c r="D15" s="54"/>
      <c r="E15" s="188"/>
      <c r="F15" s="55"/>
    </row>
    <row r="16" spans="1:6" ht="15.95" customHeight="1">
      <c r="A16" s="1" t="str">
        <f>VLOOKUP(Tabel_Totaal_werkzaamheden23[[#This Row],[OMSCHRIJVING]],Blad1!A:C,3,FALSE)</f>
        <v>2.4.17</v>
      </c>
      <c r="B16" s="56" t="s">
        <v>43</v>
      </c>
      <c r="C16" s="61"/>
      <c r="D16" s="54"/>
      <c r="E16" s="188"/>
      <c r="F16" s="55"/>
    </row>
    <row r="17" spans="1:6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</row>
    <row r="18" spans="1:6" ht="15.95" customHeight="1">
      <c r="A18" s="1"/>
      <c r="B18" s="60"/>
      <c r="C18" s="61"/>
      <c r="D18" s="54"/>
      <c r="E18" s="188"/>
      <c r="F18" s="55"/>
    </row>
    <row r="19" spans="1:6" ht="15.95" customHeight="1">
      <c r="A19" s="1" t="str">
        <f>VLOOKUP(Tabel_Totaal_werkzaamheden23[[#This Row],[OMSCHRIJVING]],Blad1!A:C,3,FALSE)</f>
        <v>2.4.18</v>
      </c>
      <c r="B19" s="56" t="s">
        <v>182</v>
      </c>
      <c r="C19" s="61"/>
      <c r="D19" s="54"/>
      <c r="E19" s="188"/>
      <c r="F19" s="55"/>
    </row>
    <row r="20" spans="1:6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</row>
    <row r="21" spans="1:6" ht="15.95" customHeight="1">
      <c r="A21" s="1"/>
      <c r="B21" s="62"/>
      <c r="C21" s="180"/>
      <c r="D21" s="64"/>
      <c r="E21" s="190"/>
      <c r="F21" s="65"/>
    </row>
    <row r="22" spans="1:6" ht="15.95" customHeight="1">
      <c r="A22" s="1" t="str">
        <f>VLOOKUP(Tabel_Totaal_werkzaamheden23[[#This Row],[OMSCHRIJVING]],Blad1!A:C,3,FALSE)</f>
        <v>2.4.21</v>
      </c>
      <c r="B22" s="56" t="s">
        <v>29</v>
      </c>
      <c r="C22" s="61"/>
      <c r="D22" s="54"/>
      <c r="E22" s="188"/>
      <c r="F22" s="55"/>
    </row>
    <row r="23" spans="1:6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</row>
    <row r="24" spans="1:6" ht="15.95" customHeight="1">
      <c r="A24" s="1"/>
      <c r="B24" s="60"/>
      <c r="C24" s="61"/>
      <c r="D24" s="54"/>
      <c r="E24" s="188"/>
      <c r="F24" s="55"/>
    </row>
    <row r="25" spans="1:6" ht="15.95" customHeight="1">
      <c r="A25" s="1" t="str">
        <f>VLOOKUP(Tabel_Totaal_werkzaamheden23[[#This Row],[OMSCHRIJVING]],Blad1!A:C,3,FALSE)</f>
        <v>2.4.22</v>
      </c>
      <c r="B25" s="56" t="s">
        <v>159</v>
      </c>
      <c r="C25" s="61"/>
      <c r="D25" s="54"/>
      <c r="E25" s="188"/>
      <c r="F25" s="55"/>
    </row>
    <row r="26" spans="1:6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</row>
    <row r="27" spans="1:6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</row>
    <row r="28" spans="1:6" ht="15.95" customHeight="1">
      <c r="A28" s="1"/>
      <c r="B28" s="52"/>
      <c r="C28" s="66"/>
      <c r="D28" s="54"/>
      <c r="E28" s="188"/>
      <c r="F28" s="55"/>
    </row>
    <row r="29" spans="1:6" ht="15.95" customHeight="1">
      <c r="A29" s="1" t="str">
        <f>VLOOKUP(Tabel_Totaal_werkzaamheden23[[#This Row],[OMSCHRIJVING]],Blad1!A:C,3,FALSE)</f>
        <v>2.4.23</v>
      </c>
      <c r="B29" s="56" t="s">
        <v>160</v>
      </c>
      <c r="C29" s="66"/>
      <c r="D29" s="54"/>
      <c r="E29" s="188"/>
      <c r="F29" s="55"/>
    </row>
    <row r="30" spans="1:6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</row>
    <row r="31" spans="1:6" ht="15.95" customHeight="1">
      <c r="A31" s="1"/>
      <c r="B31" s="52"/>
      <c r="C31" s="66"/>
      <c r="D31" s="54"/>
      <c r="E31" s="188"/>
      <c r="F31" s="55"/>
    </row>
    <row r="32" spans="1:6" ht="15.95" customHeight="1">
      <c r="A32" s="1" t="str">
        <f>VLOOKUP(Tabel_Totaal_werkzaamheden23[[#This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208</v>
      </c>
      <c r="C51" s="66" t="s">
        <v>24</v>
      </c>
      <c r="D51" s="54">
        <v>12</v>
      </c>
      <c r="E51" s="188"/>
      <c r="F51" s="55"/>
    </row>
    <row r="52" spans="1:10" ht="15.95" customHeight="1">
      <c r="A52" s="1"/>
      <c r="B52" s="52" t="s">
        <v>209</v>
      </c>
      <c r="C52" s="66" t="s">
        <v>26</v>
      </c>
      <c r="D52" s="54">
        <v>6</v>
      </c>
      <c r="E52" s="188"/>
      <c r="F52" s="55"/>
    </row>
    <row r="53" spans="1:10" ht="15.95" customHeight="1">
      <c r="A53" s="1"/>
      <c r="B53" s="52" t="s">
        <v>235</v>
      </c>
      <c r="C53" s="66" t="s">
        <v>26</v>
      </c>
      <c r="D53" s="54">
        <v>15</v>
      </c>
      <c r="E53" s="188"/>
      <c r="F53" s="55"/>
      <c r="I53" s="21"/>
    </row>
    <row r="54" spans="1:10" ht="15.95" customHeight="1">
      <c r="A54" s="1"/>
      <c r="B54" s="52"/>
      <c r="C54" s="66"/>
      <c r="D54" s="54"/>
      <c r="E54" s="188"/>
      <c r="F54" s="55"/>
    </row>
    <row r="55" spans="1:10" ht="15.95" customHeight="1">
      <c r="A55" s="1" t="str">
        <f>VLOOKUP(Tabel_Totaal_werkzaamheden23[[#This Row],[OMSCHRIJVING]],Blad1!A:C,3,FALSE)</f>
        <v>3.4</v>
      </c>
      <c r="B55" s="70" t="s">
        <v>543</v>
      </c>
      <c r="C55" s="66"/>
      <c r="D55" s="54"/>
      <c r="E55" s="188"/>
      <c r="F55" s="55"/>
    </row>
    <row r="56" spans="1:10" ht="15.95" customHeight="1">
      <c r="A56" s="1"/>
      <c r="B56" s="60" t="s">
        <v>545</v>
      </c>
      <c r="C56" s="66" t="s">
        <v>26</v>
      </c>
      <c r="D56" s="54">
        <v>73</v>
      </c>
      <c r="E56" s="188"/>
      <c r="F56" s="55"/>
    </row>
    <row r="57" spans="1:10" s="97" customFormat="1" ht="15.95" customHeight="1">
      <c r="A57" s="1"/>
      <c r="B57" s="60" t="s">
        <v>337</v>
      </c>
      <c r="C57" s="165" t="s">
        <v>26</v>
      </c>
      <c r="D57" s="54">
        <v>3</v>
      </c>
      <c r="E57" s="188"/>
      <c r="F57" s="55"/>
      <c r="G57" s="96"/>
    </row>
    <row r="58" spans="1:10" ht="15.95" customHeight="1">
      <c r="A58" s="1"/>
      <c r="B58" s="52"/>
      <c r="C58" s="66"/>
      <c r="D58" s="54"/>
      <c r="E58" s="188"/>
      <c r="F58" s="55"/>
    </row>
    <row r="59" spans="1:10" ht="15.95" customHeight="1">
      <c r="A59" s="1" t="str">
        <f>VLOOKUP(Tabel_Totaal_werkzaamheden23[[#This Row],[OMSCHRIJVING]],Blad1!A:C,3,FALSE)</f>
        <v>3.5</v>
      </c>
      <c r="B59" s="70" t="s">
        <v>169</v>
      </c>
      <c r="C59" s="66"/>
      <c r="D59" s="54"/>
      <c r="E59" s="188"/>
      <c r="F59" s="55"/>
    </row>
    <row r="60" spans="1:10" ht="15.95" customHeight="1">
      <c r="A60" s="1"/>
      <c r="B60" s="19" t="s">
        <v>179</v>
      </c>
      <c r="C60" s="66" t="s">
        <v>18</v>
      </c>
      <c r="D60" s="54">
        <v>1</v>
      </c>
      <c r="E60" s="188"/>
      <c r="F60" s="55"/>
    </row>
    <row r="61" spans="1:10" ht="15.95" customHeight="1">
      <c r="A61" s="1"/>
      <c r="B61" s="19" t="s">
        <v>170</v>
      </c>
      <c r="C61" s="66" t="s">
        <v>18</v>
      </c>
      <c r="D61" s="54">
        <v>1</v>
      </c>
      <c r="E61" s="188"/>
      <c r="F61" s="55"/>
    </row>
    <row r="62" spans="1:10" ht="15.95" customHeight="1">
      <c r="A62" s="1"/>
      <c r="B62" s="19" t="s">
        <v>178</v>
      </c>
      <c r="C62" s="66" t="s">
        <v>24</v>
      </c>
      <c r="D62" s="54">
        <v>30</v>
      </c>
      <c r="E62" s="188"/>
      <c r="F62" s="55"/>
      <c r="I62" s="71"/>
      <c r="J62" s="71"/>
    </row>
    <row r="63" spans="1:10" ht="15.95" customHeight="1">
      <c r="A63" s="1"/>
      <c r="B63" s="52"/>
      <c r="C63" s="66"/>
      <c r="D63" s="54"/>
      <c r="E63" s="188"/>
      <c r="F63" s="55"/>
    </row>
    <row r="64" spans="1:10" ht="15.95" customHeight="1">
      <c r="A64" s="1" t="str">
        <f>VLOOKUP(Tabel_Totaal_werkzaamheden23[[#This Row],[OMSCHRIJVING]],Blad1!A:C,3,FALSE)</f>
        <v>3.6</v>
      </c>
      <c r="B64" s="15" t="s">
        <v>472</v>
      </c>
      <c r="C64" s="66"/>
      <c r="D64" s="54"/>
      <c r="E64" s="188"/>
      <c r="F64" s="55"/>
    </row>
    <row r="65" spans="1:8" ht="15.95" customHeight="1">
      <c r="A65" s="1"/>
      <c r="B65" s="52" t="s">
        <v>186</v>
      </c>
      <c r="C65" s="66" t="s">
        <v>18</v>
      </c>
      <c r="D65" s="54">
        <v>1</v>
      </c>
      <c r="E65" s="188"/>
      <c r="F65" s="55"/>
      <c r="G65" s="67"/>
    </row>
    <row r="66" spans="1:8" ht="15.95" customHeight="1">
      <c r="A66" s="1"/>
      <c r="B66" s="52" t="s">
        <v>167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60" t="s">
        <v>172</v>
      </c>
      <c r="C67" s="66" t="s">
        <v>18</v>
      </c>
      <c r="D67" s="54">
        <v>1</v>
      </c>
      <c r="E67" s="188"/>
      <c r="F67" s="55"/>
      <c r="G67" s="67"/>
    </row>
    <row r="68" spans="1:8" ht="15.95" customHeight="1">
      <c r="A68" s="1"/>
      <c r="B68" s="52" t="s">
        <v>23</v>
      </c>
      <c r="C68" s="66" t="s">
        <v>18</v>
      </c>
      <c r="D68" s="54">
        <v>1</v>
      </c>
      <c r="E68" s="188"/>
      <c r="F68" s="55"/>
      <c r="G68" s="67"/>
    </row>
    <row r="69" spans="1:8" ht="15.95" customHeight="1">
      <c r="A69" s="1"/>
      <c r="B69" s="52" t="s">
        <v>25</v>
      </c>
      <c r="C69" s="66" t="s">
        <v>18</v>
      </c>
      <c r="D69" s="54">
        <v>1</v>
      </c>
      <c r="E69" s="188"/>
      <c r="F69" s="55"/>
    </row>
    <row r="70" spans="1:8" ht="15.95" customHeight="1">
      <c r="A70" s="1"/>
      <c r="B70" s="52" t="s">
        <v>185</v>
      </c>
      <c r="C70" s="66" t="s">
        <v>18</v>
      </c>
      <c r="D70" s="54">
        <v>1</v>
      </c>
      <c r="E70" s="188"/>
      <c r="F70" s="55"/>
      <c r="H70" s="21"/>
    </row>
    <row r="71" spans="1:8" ht="15.95" customHeight="1">
      <c r="A71" s="1"/>
      <c r="B71" s="52" t="s">
        <v>547</v>
      </c>
      <c r="C71" s="66" t="s">
        <v>26</v>
      </c>
      <c r="D71" s="54">
        <v>73</v>
      </c>
      <c r="E71" s="188"/>
      <c r="F71" s="55"/>
    </row>
    <row r="72" spans="1:8" ht="15.95" customHeight="1">
      <c r="A72" s="1"/>
      <c r="B72" s="52" t="s">
        <v>27</v>
      </c>
      <c r="C72" s="66" t="s">
        <v>24</v>
      </c>
      <c r="D72" s="54">
        <v>30</v>
      </c>
      <c r="E72" s="188"/>
      <c r="F72" s="55"/>
    </row>
    <row r="73" spans="1:8" ht="15.95" customHeight="1">
      <c r="A73" s="1"/>
      <c r="B73" s="52" t="s">
        <v>181</v>
      </c>
      <c r="C73" s="66" t="s">
        <v>24</v>
      </c>
      <c r="D73" s="54">
        <v>14</v>
      </c>
      <c r="E73" s="188"/>
      <c r="F73" s="55"/>
    </row>
    <row r="74" spans="1:8" ht="15.95" customHeight="1">
      <c r="A74" s="1"/>
      <c r="B74" s="60" t="s">
        <v>171</v>
      </c>
      <c r="C74" s="66" t="s">
        <v>18</v>
      </c>
      <c r="D74" s="54">
        <v>1</v>
      </c>
      <c r="E74" s="188"/>
      <c r="F74" s="55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VLOOKUP(Tabel_Totaal_werkzaamheden23[[#This Row],[OMSCHRIJVING]],Blad1!A:C,3,FALSE)</f>
        <v>3.7</v>
      </c>
      <c r="B76" s="70" t="s">
        <v>174</v>
      </c>
      <c r="C76" s="66"/>
      <c r="D76" s="54"/>
      <c r="E76" s="188"/>
      <c r="F76" s="55"/>
    </row>
    <row r="77" spans="1:8" ht="15.95" customHeight="1">
      <c r="A77" s="1"/>
      <c r="B77" s="19" t="s">
        <v>239</v>
      </c>
      <c r="C77" s="66" t="s">
        <v>26</v>
      </c>
      <c r="D77" s="54">
        <v>6</v>
      </c>
      <c r="E77" s="188"/>
      <c r="F77" s="55"/>
    </row>
    <row r="78" spans="1:8" s="164" customFormat="1" ht="25.5">
      <c r="A78" s="1"/>
      <c r="B78" s="164" t="s">
        <v>340</v>
      </c>
      <c r="C78" s="162" t="s">
        <v>26</v>
      </c>
      <c r="D78" s="156">
        <v>15</v>
      </c>
      <c r="E78" s="193"/>
      <c r="F78" s="157"/>
      <c r="G78" s="163"/>
    </row>
    <row r="79" spans="1:8" ht="15.95" customHeight="1">
      <c r="A79" s="1"/>
      <c r="B79" s="52"/>
      <c r="C79" s="66"/>
      <c r="D79" s="54"/>
      <c r="E79" s="188"/>
      <c r="F79" s="55"/>
    </row>
    <row r="80" spans="1:8" ht="15.95" customHeight="1">
      <c r="A80" s="1" t="str">
        <f>VLOOKUP(Tabel_Totaal_werkzaamheden23[[#This Row],[OMSCHRIJVING]],Blad1!A:C,3,FALSE)</f>
        <v>3.8</v>
      </c>
      <c r="B80" s="72" t="s">
        <v>231</v>
      </c>
      <c r="C80" s="73"/>
      <c r="D80" s="54"/>
      <c r="E80" s="188"/>
      <c r="F80" s="55"/>
    </row>
    <row r="81" spans="1:7" ht="15.95" customHeight="1">
      <c r="A81" s="1"/>
      <c r="B81" s="74" t="s">
        <v>28</v>
      </c>
      <c r="C81" s="73" t="s">
        <v>18</v>
      </c>
      <c r="D81" s="54">
        <v>1</v>
      </c>
      <c r="E81" s="188"/>
      <c r="F81" s="55"/>
    </row>
    <row r="82" spans="1:7" ht="15.95" customHeight="1">
      <c r="A82" s="1"/>
      <c r="B82" s="52"/>
      <c r="C82" s="66"/>
      <c r="D82" s="54"/>
      <c r="E82" s="188"/>
      <c r="F82" s="55"/>
    </row>
    <row r="83" spans="1:7" ht="15.95" customHeight="1">
      <c r="A83" s="1" t="str">
        <f>VLOOKUP(Tabel_Totaal_werkzaamheden23[[#This Row],[OMSCHRIJVING]],Blad1!A:C,3,FALSE)</f>
        <v>3.9</v>
      </c>
      <c r="B83" s="72" t="s">
        <v>184</v>
      </c>
      <c r="C83" s="73"/>
      <c r="D83" s="54"/>
      <c r="E83" s="188"/>
      <c r="F83" s="55"/>
    </row>
    <row r="84" spans="1:7" s="97" customFormat="1" ht="15.95" customHeight="1">
      <c r="A84" s="217" t="s">
        <v>532</v>
      </c>
      <c r="B84" s="74" t="s">
        <v>212</v>
      </c>
      <c r="C84" s="73" t="s">
        <v>18</v>
      </c>
      <c r="D84" s="54">
        <v>1</v>
      </c>
      <c r="E84" s="188"/>
      <c r="F84" s="55"/>
      <c r="G84" s="96"/>
    </row>
    <row r="85" spans="1:7" s="159" customFormat="1" ht="12.75">
      <c r="A85" s="217" t="s">
        <v>531</v>
      </c>
      <c r="B85" s="154" t="s">
        <v>319</v>
      </c>
      <c r="C85" s="155" t="s">
        <v>18</v>
      </c>
      <c r="D85" s="156">
        <v>1</v>
      </c>
      <c r="E85" s="193"/>
      <c r="F85" s="157"/>
      <c r="G85" s="158"/>
    </row>
    <row r="86" spans="1:7" s="97" customFormat="1" ht="15.95" customHeight="1">
      <c r="A86" s="217" t="s">
        <v>531</v>
      </c>
      <c r="B86" s="74" t="s">
        <v>320</v>
      </c>
      <c r="C86" s="73" t="s">
        <v>18</v>
      </c>
      <c r="D86" s="54">
        <v>1</v>
      </c>
      <c r="E86" s="188"/>
      <c r="F86" s="55"/>
      <c r="G86" s="96"/>
    </row>
    <row r="87" spans="1:7" s="97" customFormat="1" ht="15.95" customHeight="1">
      <c r="A87" s="217" t="s">
        <v>531</v>
      </c>
      <c r="B87" s="74" t="s">
        <v>210</v>
      </c>
      <c r="C87" s="73" t="s">
        <v>18</v>
      </c>
      <c r="D87" s="54">
        <v>1</v>
      </c>
      <c r="E87" s="188"/>
      <c r="F87" s="55"/>
      <c r="G87" s="96"/>
    </row>
    <row r="88" spans="1:7" s="97" customFormat="1" ht="15.95" customHeight="1">
      <c r="A88" s="217" t="s">
        <v>531</v>
      </c>
      <c r="B88" s="74" t="s">
        <v>211</v>
      </c>
      <c r="C88" s="73" t="s">
        <v>18</v>
      </c>
      <c r="D88" s="54">
        <v>1</v>
      </c>
      <c r="E88" s="188"/>
      <c r="F88" s="55"/>
      <c r="G88" s="96"/>
    </row>
    <row r="89" spans="1:7" ht="15.95" customHeight="1">
      <c r="A89" s="1"/>
      <c r="B89" s="52"/>
      <c r="C89" s="66"/>
      <c r="D89" s="54"/>
      <c r="E89" s="188"/>
      <c r="F89" s="55"/>
    </row>
    <row r="90" spans="1:7" ht="15.95" customHeight="1">
      <c r="A90" s="1" t="str">
        <f>VLOOKUP(Tabel_Totaal_werkzaamheden23[[#This Row],[OMSCHRIJVING]],Blad1!A:C,3,FALSE)</f>
        <v>3.10</v>
      </c>
      <c r="B90" s="15" t="s">
        <v>499</v>
      </c>
      <c r="C90" s="66"/>
      <c r="D90" s="54"/>
      <c r="E90" s="188"/>
      <c r="F90" s="55"/>
    </row>
    <row r="91" spans="1:7" ht="15.95" customHeight="1">
      <c r="A91" s="1"/>
      <c r="B91" s="52" t="s">
        <v>230</v>
      </c>
      <c r="C91" s="66" t="s">
        <v>18</v>
      </c>
      <c r="D91" s="54">
        <v>1</v>
      </c>
      <c r="E91" s="188"/>
      <c r="F91" s="55"/>
    </row>
    <row r="92" spans="1:7" ht="15.95" customHeight="1" thickBot="1">
      <c r="A92" s="1" t="str">
        <f>IF(Tabel_Totaal_werkzaamheden23[[#This Row],[OMSCHRIJVING]]="","",_xlfn.XLOOKUP(Tabel_Totaal_werkzaamheden23[[#This Row],[OMSCHRIJVING]],Verwijzingsblad!$B$2:$B$186,Verwijzingsblad!$A$2:$A$186,""))</f>
        <v/>
      </c>
      <c r="B92" s="52"/>
      <c r="C92" s="66"/>
      <c r="D92" s="54"/>
      <c r="E92" s="188"/>
      <c r="F92" s="55"/>
    </row>
    <row r="93" spans="1:7" ht="15.95" customHeight="1" thickTop="1">
      <c r="A93" s="236" t="s">
        <v>155</v>
      </c>
      <c r="B93" s="237"/>
      <c r="C93" s="238"/>
      <c r="D93" s="239" t="str">
        <f>B3</f>
        <v>Brug Anijsdonk</v>
      </c>
      <c r="E93" s="240" t="str">
        <f>A3</f>
        <v>AKK-09</v>
      </c>
      <c r="F93" s="241">
        <f>SUBTOTAL(109,Tabel_Totaal_werkzaamheden23[TOTAALBEDRAG IN EURO])</f>
        <v>0</v>
      </c>
      <c r="G93" s="75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1:6" ht="15.95" customHeight="1">
      <c r="A97" s="15"/>
      <c r="B97" s="52"/>
      <c r="C97" s="52"/>
      <c r="D97" s="76"/>
      <c r="E97" s="191"/>
      <c r="F97" s="77"/>
    </row>
    <row r="98" spans="1:6" ht="15.95" customHeight="1">
      <c r="A98" s="15"/>
      <c r="B98" s="52"/>
      <c r="C98" s="52"/>
      <c r="D98" s="76"/>
      <c r="E98" s="191"/>
      <c r="F98" s="77"/>
    </row>
    <row r="99" spans="1:6" ht="15.95" customHeight="1">
      <c r="A99" s="15"/>
      <c r="B99" s="52"/>
      <c r="C99" s="52"/>
      <c r="D99" s="76"/>
      <c r="E99" s="191"/>
      <c r="F99" s="77"/>
    </row>
    <row r="100" spans="1:6" ht="15.95" customHeight="1">
      <c r="A100" s="15"/>
      <c r="B100" s="52"/>
      <c r="C100" s="52"/>
      <c r="D100" s="76"/>
      <c r="E100" s="191"/>
      <c r="F100" s="77"/>
    </row>
    <row r="101" spans="1:6" ht="15.95" customHeight="1">
      <c r="A101" s="15"/>
      <c r="B101" s="52"/>
      <c r="C101" s="52"/>
      <c r="D101" s="76"/>
      <c r="E101" s="191"/>
      <c r="F101" s="77"/>
    </row>
    <row r="102" spans="1:6" ht="15.95" customHeight="1">
      <c r="A102" s="15"/>
      <c r="B102" s="52"/>
      <c r="C102" s="52"/>
      <c r="D102" s="76"/>
      <c r="E102" s="191"/>
      <c r="F102" s="77"/>
    </row>
    <row r="103" spans="1:6" ht="15.95" customHeight="1">
      <c r="E103" s="192"/>
    </row>
    <row r="104" spans="1:6" ht="15.95" customHeight="1">
      <c r="E104" s="192"/>
    </row>
    <row r="105" spans="1:6" ht="15.95" customHeight="1">
      <c r="E105" s="192"/>
    </row>
    <row r="106" spans="1:6" ht="15.95" customHeight="1">
      <c r="E106" s="192"/>
    </row>
    <row r="107" spans="1:6" ht="15.95" customHeight="1">
      <c r="E107" s="192"/>
    </row>
    <row r="108" spans="1:6" ht="15.95" customHeight="1">
      <c r="E108" s="192"/>
    </row>
    <row r="109" spans="1:6" ht="15.95" customHeight="1">
      <c r="E109" s="192"/>
    </row>
    <row r="110" spans="1:6" ht="15.95" customHeight="1">
      <c r="E110" s="192"/>
    </row>
    <row r="111" spans="1:6" ht="15.95" customHeight="1">
      <c r="E111" s="192"/>
    </row>
    <row r="112" spans="1:6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2">
    <pageSetUpPr fitToPage="1"/>
  </sheetPr>
  <dimension ref="A1:J172"/>
  <sheetViews>
    <sheetView view="pageBreakPreview" topLeftCell="A3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116</v>
      </c>
      <c r="B3" s="23" t="s">
        <v>83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31" t="s">
        <v>260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14.4</v>
      </c>
      <c r="E5" s="31" t="s">
        <v>261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IF(Tabel_Totaal_werkzaamheden244[[#This Row],[OMSCHRIJVING]]="","",_xlfn.XLOOKUP(Tabel_Totaal_werkzaamheden244[[#This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VLOOKUP(Tabel_Totaal_werkzaamheden244[[#This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VLOOKUP(Tabel_Totaal_werkzaamheden244[[#This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VLOOKUP(Tabel_Totaal_werkzaamheden244[[#This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2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VLOOKUP(Tabel_Totaal_werkzaamheden244[[#This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4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VLOOKUP(Tabel_Totaal_werkzaamheden244[[#This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2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4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4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VLOOKUP(Tabel_Totaal_werkzaamheden244[[#This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4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VLOOKUP(Tabel_Totaal_werkzaamheden244[[#This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4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4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4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VLOOKUP(Tabel_Totaal_werkzaamheden244[[#This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4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VLOOKUP(Tabel_Totaal_werkzaamheden244[[#This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4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4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VLOOKUP(Tabel_Totaal_werkzaamheden244[[#This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4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4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VLOOKUP(Tabel_Totaal_werkzaamheden244[[#This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4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4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4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VLOOKUP(Tabel_Totaal_werkzaamheden244[[#This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4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 t="s">
        <v>238</v>
      </c>
      <c r="C48" s="66" t="s">
        <v>26</v>
      </c>
      <c r="D48" s="54">
        <v>9</v>
      </c>
      <c r="E48" s="188"/>
      <c r="F48" s="55"/>
      <c r="I48" s="21"/>
    </row>
    <row r="49" spans="1:10" ht="15.95" customHeight="1">
      <c r="A49" s="14"/>
      <c r="B49" s="52"/>
      <c r="C49" s="66"/>
      <c r="D49" s="54"/>
      <c r="E49" s="188"/>
      <c r="F49" s="55"/>
    </row>
    <row r="50" spans="1:10" ht="15.95" customHeight="1">
      <c r="A50" s="1" t="str">
        <f>VLOOKUP(Tabel_Totaal_werkzaamheden244[[#This Row],[OMSCHRIJVING]],Blad1!A:C,3,FALSE)</f>
        <v>3.4</v>
      </c>
      <c r="B50" s="70" t="s">
        <v>543</v>
      </c>
      <c r="C50" s="66"/>
      <c r="D50" s="54"/>
      <c r="E50" s="188"/>
      <c r="F50" s="55"/>
    </row>
    <row r="51" spans="1:10" ht="15.95" customHeight="1">
      <c r="A51" s="14"/>
      <c r="B51" s="60" t="s">
        <v>545</v>
      </c>
      <c r="C51" s="66" t="s">
        <v>26</v>
      </c>
      <c r="D51" s="54">
        <v>28</v>
      </c>
      <c r="E51" s="188"/>
      <c r="F51" s="55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VLOOKUP(Tabel_Totaal_werkzaamheden244[[#This Row],[OMSCHRIJVING]],Blad1!A:C,3,FALSE)</f>
        <v>3.5</v>
      </c>
      <c r="B53" s="70" t="s">
        <v>169</v>
      </c>
      <c r="C53" s="66"/>
      <c r="D53" s="54"/>
      <c r="E53" s="188"/>
      <c r="F53" s="55"/>
    </row>
    <row r="54" spans="1:10" ht="15.95" customHeight="1">
      <c r="A54" s="14"/>
      <c r="B54" s="19" t="s">
        <v>179</v>
      </c>
      <c r="C54" s="66" t="s">
        <v>18</v>
      </c>
      <c r="D54" s="54">
        <v>1</v>
      </c>
      <c r="E54" s="188"/>
      <c r="F54" s="55"/>
    </row>
    <row r="55" spans="1:10" ht="15.95" customHeight="1">
      <c r="A55" s="14"/>
      <c r="B55" s="19" t="s">
        <v>170</v>
      </c>
      <c r="C55" s="66" t="s">
        <v>18</v>
      </c>
      <c r="D55" s="54">
        <v>1</v>
      </c>
      <c r="E55" s="188"/>
      <c r="F55" s="55"/>
    </row>
    <row r="56" spans="1:10" ht="15.95" customHeight="1">
      <c r="A56" s="14"/>
      <c r="B56" s="19" t="s">
        <v>178</v>
      </c>
      <c r="C56" s="66" t="s">
        <v>24</v>
      </c>
      <c r="D56" s="54">
        <v>29</v>
      </c>
      <c r="E56" s="188"/>
      <c r="F56" s="55"/>
      <c r="I56" s="71"/>
      <c r="J56" s="71"/>
    </row>
    <row r="57" spans="1:10" ht="15.95" customHeight="1">
      <c r="A57" s="14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VLOOKUP(Tabel_Totaal_werkzaamheden244[[#This Row],[OMSCHRIJVING]],Blad1!A:C,3,FALSE)</f>
        <v>3.6</v>
      </c>
      <c r="B58" s="15" t="s">
        <v>472</v>
      </c>
      <c r="C58" s="66"/>
      <c r="D58" s="54"/>
      <c r="E58" s="188"/>
      <c r="F58" s="55"/>
    </row>
    <row r="59" spans="1:10" ht="15.95" customHeight="1">
      <c r="A59" s="14"/>
      <c r="B59" s="52" t="s">
        <v>186</v>
      </c>
      <c r="C59" s="66" t="s">
        <v>18</v>
      </c>
      <c r="D59" s="54">
        <v>1</v>
      </c>
      <c r="E59" s="188"/>
      <c r="F59" s="55"/>
      <c r="G59" s="67"/>
    </row>
    <row r="60" spans="1:10" ht="15.95" customHeight="1">
      <c r="A60" s="14"/>
      <c r="B60" s="52" t="s">
        <v>167</v>
      </c>
      <c r="C60" s="66" t="s">
        <v>18</v>
      </c>
      <c r="D60" s="54">
        <v>1</v>
      </c>
      <c r="E60" s="188"/>
      <c r="F60" s="55"/>
    </row>
    <row r="61" spans="1:10" ht="15.95" customHeight="1">
      <c r="A61" s="14"/>
      <c r="B61" s="60" t="s">
        <v>172</v>
      </c>
      <c r="C61" s="66" t="s">
        <v>18</v>
      </c>
      <c r="D61" s="54">
        <v>1</v>
      </c>
      <c r="E61" s="188"/>
      <c r="F61" s="55"/>
    </row>
    <row r="62" spans="1:10" ht="15.95" customHeight="1">
      <c r="A62" s="14"/>
      <c r="B62" s="52" t="s">
        <v>23</v>
      </c>
      <c r="C62" s="66" t="s">
        <v>18</v>
      </c>
      <c r="D62" s="54">
        <v>1</v>
      </c>
      <c r="E62" s="188"/>
      <c r="F62" s="55"/>
    </row>
    <row r="63" spans="1:10" ht="15.95" customHeight="1">
      <c r="A63" s="14"/>
      <c r="B63" s="52" t="s">
        <v>25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52" t="s">
        <v>185</v>
      </c>
      <c r="C64" s="66" t="s">
        <v>18</v>
      </c>
      <c r="D64" s="54">
        <v>1</v>
      </c>
      <c r="E64" s="188"/>
      <c r="F64" s="55"/>
      <c r="H64" s="21"/>
    </row>
    <row r="65" spans="1:7" ht="15.95" customHeight="1">
      <c r="A65" s="14"/>
      <c r="B65" s="52" t="s">
        <v>542</v>
      </c>
      <c r="C65" s="66" t="s">
        <v>26</v>
      </c>
      <c r="D65" s="54">
        <v>28</v>
      </c>
      <c r="E65" s="188"/>
      <c r="F65" s="55"/>
    </row>
    <row r="66" spans="1:7" ht="15.95" customHeight="1">
      <c r="A66" s="14"/>
      <c r="B66" s="52" t="s">
        <v>27</v>
      </c>
      <c r="C66" s="66" t="s">
        <v>24</v>
      </c>
      <c r="D66" s="54">
        <v>29</v>
      </c>
      <c r="E66" s="188"/>
      <c r="F66" s="55"/>
    </row>
    <row r="67" spans="1:7" ht="15.95" customHeight="1">
      <c r="A67" s="14"/>
      <c r="B67" s="52" t="s">
        <v>181</v>
      </c>
      <c r="C67" s="66" t="s">
        <v>24</v>
      </c>
      <c r="D67" s="54">
        <v>12</v>
      </c>
      <c r="E67" s="188"/>
      <c r="F67" s="55"/>
    </row>
    <row r="68" spans="1:7" ht="15.95" customHeight="1">
      <c r="A68" s="14"/>
      <c r="B68" s="52" t="s">
        <v>171</v>
      </c>
      <c r="C68" s="66" t="s">
        <v>18</v>
      </c>
      <c r="D68" s="54">
        <v>1</v>
      </c>
      <c r="E68" s="188"/>
      <c r="F68" s="55"/>
    </row>
    <row r="69" spans="1:7" ht="15.95" customHeight="1">
      <c r="A69" s="14"/>
      <c r="B69" s="52"/>
      <c r="C69" s="66"/>
      <c r="D69" s="54"/>
      <c r="E69" s="188"/>
      <c r="F69" s="55"/>
    </row>
    <row r="70" spans="1:7" ht="15.95" customHeight="1">
      <c r="A70" s="1" t="str">
        <f>VLOOKUP(Tabel_Totaal_werkzaamheden244[[#This Row],[OMSCHRIJVING]],Blad1!A:C,3,FALSE)</f>
        <v>3.7</v>
      </c>
      <c r="B70" s="70" t="s">
        <v>174</v>
      </c>
      <c r="C70" s="66"/>
      <c r="D70" s="54"/>
      <c r="E70" s="188"/>
      <c r="F70" s="55"/>
    </row>
    <row r="71" spans="1:7" ht="15.95" customHeight="1">
      <c r="A71" s="14"/>
      <c r="B71" s="19" t="s">
        <v>342</v>
      </c>
      <c r="C71" s="66" t="s">
        <v>26</v>
      </c>
      <c r="D71" s="54">
        <v>9</v>
      </c>
      <c r="E71" s="188"/>
      <c r="F71" s="55"/>
    </row>
    <row r="72" spans="1:7" ht="15.95" customHeight="1">
      <c r="A72" s="14"/>
      <c r="B72" s="52"/>
      <c r="C72" s="66"/>
      <c r="D72" s="54"/>
      <c r="E72" s="188"/>
      <c r="F72" s="55"/>
    </row>
    <row r="73" spans="1:7" ht="15.95" customHeight="1">
      <c r="A73" s="1" t="str">
        <f>VLOOKUP(Tabel_Totaal_werkzaamheden244[[#This Row],[OMSCHRIJVING]],Blad1!A:C,3,FALSE)</f>
        <v>3.8</v>
      </c>
      <c r="B73" s="72" t="s">
        <v>231</v>
      </c>
      <c r="C73" s="73"/>
      <c r="D73" s="54"/>
      <c r="E73" s="188"/>
      <c r="F73" s="55"/>
    </row>
    <row r="74" spans="1:7" ht="15.95" customHeight="1">
      <c r="A74" s="14"/>
      <c r="B74" s="74" t="s">
        <v>28</v>
      </c>
      <c r="C74" s="73" t="s">
        <v>18</v>
      </c>
      <c r="D74" s="54">
        <v>1</v>
      </c>
      <c r="E74" s="188"/>
      <c r="F74" s="55"/>
    </row>
    <row r="75" spans="1:7" ht="15.95" customHeight="1">
      <c r="A75" s="14"/>
      <c r="B75" s="52"/>
      <c r="C75" s="66"/>
      <c r="D75" s="54"/>
      <c r="E75" s="188"/>
      <c r="F75" s="55"/>
    </row>
    <row r="76" spans="1:7" ht="15.95" customHeight="1">
      <c r="A76" s="1" t="str">
        <f>VLOOKUP(Tabel_Totaal_werkzaamheden244[[#This Row],[OMSCHRIJVING]],Blad1!A:C,3,FALSE)</f>
        <v>3.10</v>
      </c>
      <c r="B76" s="15" t="s">
        <v>499</v>
      </c>
      <c r="C76" s="66"/>
      <c r="D76" s="54"/>
      <c r="E76" s="188"/>
      <c r="F76" s="55"/>
    </row>
    <row r="77" spans="1:7" ht="15.95" customHeight="1">
      <c r="A77" s="14"/>
      <c r="B77" s="52" t="s">
        <v>230</v>
      </c>
      <c r="C77" s="66" t="s">
        <v>18</v>
      </c>
      <c r="D77" s="54">
        <v>1</v>
      </c>
      <c r="E77" s="188"/>
      <c r="F77" s="55"/>
    </row>
    <row r="78" spans="1:7" ht="15.95" customHeight="1">
      <c r="A78" s="14" t="str">
        <f>IF(Tabel_Totaal_werkzaamheden244[[#This Row],[OMSCHRIJVING]]="","",_xlfn.XLOOKUP(Tabel_Totaal_werkzaamheden244[[#This Row],[OMSCHRIJVING]],Verwijzingsblad!$B$2:$B$186,Verwijzingsblad!$A$2:$A$186,""))</f>
        <v/>
      </c>
      <c r="B78" s="52"/>
      <c r="C78" s="66"/>
      <c r="D78" s="54"/>
      <c r="E78" s="188"/>
      <c r="F78" s="55"/>
    </row>
    <row r="79" spans="1:7" ht="15.95" customHeight="1">
      <c r="A79" s="205" t="s">
        <v>155</v>
      </c>
      <c r="B79" s="206"/>
      <c r="C79" s="207"/>
      <c r="D79" s="208" t="str">
        <f>B3</f>
        <v>Brug Meeldijk</v>
      </c>
      <c r="E79" s="209" t="str">
        <f>A3</f>
        <v>VB022</v>
      </c>
      <c r="F79" s="210">
        <f>SUBTOTAL(109,Tabel_Totaal_werkzaamheden244[TOTAALBEDRAG IN EURO])</f>
        <v>0</v>
      </c>
      <c r="G79" s="75"/>
    </row>
    <row r="80" spans="1:7" ht="15.95" customHeight="1">
      <c r="A80" s="15"/>
      <c r="B80" s="52"/>
      <c r="C80" s="52"/>
      <c r="D80" s="76"/>
      <c r="E80" s="191"/>
      <c r="F80" s="77"/>
    </row>
    <row r="81" spans="1:6" ht="15.95" customHeight="1">
      <c r="A81" s="15"/>
      <c r="B81" s="52"/>
      <c r="C81" s="52"/>
      <c r="D81" s="76"/>
      <c r="E81" s="191"/>
      <c r="F81" s="77"/>
    </row>
    <row r="82" spans="1:6" ht="15.95" customHeight="1">
      <c r="A82" s="15"/>
      <c r="B82" s="52"/>
      <c r="C82" s="52"/>
      <c r="D82" s="76"/>
      <c r="E82" s="191"/>
      <c r="F82" s="77"/>
    </row>
    <row r="83" spans="1:6" ht="15.95" customHeight="1">
      <c r="A83" s="15"/>
      <c r="B83" s="52"/>
      <c r="C83" s="52"/>
      <c r="D83" s="76"/>
      <c r="E83" s="191"/>
      <c r="F83" s="77"/>
    </row>
    <row r="84" spans="1:6" ht="15.95" customHeight="1">
      <c r="A84" s="15"/>
      <c r="B84" s="52"/>
      <c r="C84" s="52"/>
      <c r="D84" s="76"/>
      <c r="E84" s="191"/>
      <c r="F84" s="77"/>
    </row>
    <row r="85" spans="1:6" ht="15.95" customHeight="1">
      <c r="A85" s="15"/>
      <c r="B85" s="52"/>
      <c r="C85" s="52"/>
      <c r="D85" s="76"/>
      <c r="E85" s="191"/>
      <c r="F85" s="77"/>
    </row>
    <row r="86" spans="1:6" ht="15.95" customHeight="1">
      <c r="A86" s="15"/>
      <c r="B86" s="52"/>
      <c r="C86" s="52"/>
      <c r="D86" s="76"/>
      <c r="E86" s="191"/>
      <c r="F86" s="77"/>
    </row>
    <row r="87" spans="1:6" ht="15.95" customHeight="1">
      <c r="A87" s="15"/>
      <c r="B87" s="52"/>
      <c r="C87" s="52"/>
      <c r="D87" s="76"/>
      <c r="E87" s="191"/>
      <c r="F87" s="77"/>
    </row>
    <row r="88" spans="1:6" ht="15.95" customHeight="1">
      <c r="A88" s="15"/>
      <c r="B88" s="52"/>
      <c r="C88" s="52"/>
      <c r="D88" s="76"/>
      <c r="E88" s="191"/>
      <c r="F88" s="77"/>
    </row>
    <row r="89" spans="1:6" ht="15.95" customHeight="1">
      <c r="E89" s="192"/>
    </row>
    <row r="90" spans="1:6" ht="15.95" customHeight="1">
      <c r="E90" s="192"/>
    </row>
    <row r="91" spans="1:6" ht="15.95" customHeight="1">
      <c r="E91" s="192"/>
    </row>
    <row r="92" spans="1:6" ht="15.95" customHeight="1">
      <c r="E92" s="192"/>
    </row>
    <row r="93" spans="1:6" ht="15.95" customHeight="1">
      <c r="E93" s="192"/>
    </row>
    <row r="94" spans="1:6" ht="15.95" customHeight="1">
      <c r="E94" s="192"/>
    </row>
    <row r="95" spans="1:6" ht="15.95" customHeight="1">
      <c r="E95" s="192"/>
    </row>
    <row r="96" spans="1:6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1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8" width="9.140625" style="19"/>
    <col min="9" max="9" width="11.85546875" style="19" bestFit="1" customWidth="1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117</v>
      </c>
      <c r="B3" s="23" t="s">
        <v>83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3.1</v>
      </c>
      <c r="E4" s="152" t="s">
        <v>268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15.5</v>
      </c>
      <c r="E5" s="152" t="s">
        <v>267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IF(Tabel_Totaal_werkzaamheden243[[#This Row],[OMSCHRIJVING]]="","",_xlfn.XLOOKUP(Tabel_Totaal_werkzaamheden243[[#This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VLOOKUP(Tabel_Totaal_werkzaamheden243[[#This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VLOOKUP(Tabel_Totaal_werkzaamheden243[[#This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VLOOKUP(Tabel_Totaal_werkzaamheden243[[#This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2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VLOOKUP(Tabel_Totaal_werkzaamheden243[[#This Row],[OMSCHRIJVING]],Blad1!A:C,3,FALSE)</f>
        <v>2.4.21</v>
      </c>
      <c r="B19" s="56" t="s">
        <v>29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4"/>
      <c r="B20" s="60" t="s">
        <v>17</v>
      </c>
      <c r="C20" s="66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VLOOKUP(Tabel_Totaal_werkzaamheden243[[#This Row],[OMSCHRIJVING]],Blad1!A:C,3,FALSE)</f>
        <v>2.4.22</v>
      </c>
      <c r="B22" s="56" t="s">
        <v>159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2"/>
      <c r="B23" s="60" t="s">
        <v>36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4"/>
      <c r="B24" s="52" t="s">
        <v>19</v>
      </c>
      <c r="C24" s="66" t="s">
        <v>18</v>
      </c>
      <c r="D24" s="54">
        <v>1</v>
      </c>
      <c r="E24" s="188"/>
      <c r="F24" s="55"/>
      <c r="H24" s="19"/>
      <c r="I24" s="19"/>
      <c r="J24" s="19"/>
    </row>
    <row r="25" spans="1:10" s="21" customFormat="1" ht="15.95" customHeight="1">
      <c r="A25" s="14"/>
      <c r="B25" s="52"/>
      <c r="C25" s="66"/>
      <c r="D25" s="54"/>
      <c r="E25" s="188"/>
      <c r="F25" s="55"/>
      <c r="H25" s="19"/>
      <c r="I25" s="19"/>
      <c r="J25" s="19"/>
    </row>
    <row r="26" spans="1:10" s="21" customFormat="1" ht="15.95" customHeight="1">
      <c r="A26" s="1" t="str">
        <f>VLOOKUP(Tabel_Totaal_werkzaamheden243[[#This Row],[OMSCHRIJVING]],Blad1!A:C,3,FALSE)</f>
        <v>2.4.23</v>
      </c>
      <c r="B26" s="56" t="s">
        <v>160</v>
      </c>
      <c r="C26" s="66"/>
      <c r="D26" s="54"/>
      <c r="E26" s="188"/>
      <c r="F26" s="55"/>
      <c r="H26" s="19"/>
      <c r="I26" s="19"/>
      <c r="J26" s="19"/>
    </row>
    <row r="27" spans="1:10" s="21" customFormat="1" ht="15.95" customHeight="1">
      <c r="A27" s="14"/>
      <c r="B27" s="60" t="s">
        <v>37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60"/>
      <c r="C28" s="66"/>
      <c r="D28" s="54"/>
      <c r="E28" s="188"/>
      <c r="F28" s="55"/>
      <c r="H28" s="19"/>
      <c r="I28" s="19"/>
      <c r="J28" s="19"/>
    </row>
    <row r="29" spans="1:10" ht="15.95" customHeight="1">
      <c r="A29" s="1" t="str">
        <f>VLOOKUP(Tabel_Totaal_werkzaamheden243[[#This Row],[OMSCHRIJVING]],Blad1!A:C,3,FALSE)</f>
        <v>2.4.30</v>
      </c>
      <c r="B29" s="15" t="s">
        <v>394</v>
      </c>
      <c r="C29" s="66"/>
      <c r="D29" s="54"/>
      <c r="E29" s="188"/>
      <c r="F29" s="55"/>
    </row>
    <row r="30" spans="1:10" ht="15.95" customHeight="1">
      <c r="A30" s="1"/>
      <c r="B30" s="52" t="s">
        <v>229</v>
      </c>
      <c r="C30" s="66" t="s">
        <v>18</v>
      </c>
      <c r="D30" s="54">
        <v>1</v>
      </c>
      <c r="E30" s="188"/>
      <c r="F30" s="55"/>
    </row>
    <row r="31" spans="1:10" ht="15.95" customHeight="1">
      <c r="A31" s="14"/>
      <c r="B31" s="52" t="s">
        <v>20</v>
      </c>
      <c r="C31" s="66" t="s">
        <v>18</v>
      </c>
      <c r="D31" s="54">
        <v>1</v>
      </c>
      <c r="E31" s="188"/>
      <c r="F31" s="55"/>
    </row>
    <row r="32" spans="1:10" ht="15.95" customHeight="1">
      <c r="A32" s="14"/>
      <c r="B32" s="52"/>
      <c r="C32" s="66"/>
      <c r="D32" s="54"/>
      <c r="E32" s="188"/>
      <c r="F32" s="55"/>
    </row>
    <row r="33" spans="1:10" ht="15.95" customHeight="1">
      <c r="A33" s="1" t="str">
        <f>VLOOKUP(Tabel_Totaal_werkzaamheden243[[#This Row],[OMSCHRIJVING]],Blad1!A:C,3,FALSE)</f>
        <v>2.4.31</v>
      </c>
      <c r="B33" s="56" t="s">
        <v>396</v>
      </c>
      <c r="C33" s="66"/>
      <c r="D33" s="54"/>
      <c r="E33" s="188"/>
      <c r="F33" s="55"/>
    </row>
    <row r="34" spans="1:10" ht="15.95" customHeight="1">
      <c r="A34" s="14"/>
      <c r="B34" s="52" t="s">
        <v>21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VLOOKUP(Tabel_Totaal_werkzaamheden243[[#This Row],[OMSCHRIJVING]],Blad1!A:C,3,FALSE)</f>
        <v>2.4.34</v>
      </c>
      <c r="B36" s="15" t="s">
        <v>161</v>
      </c>
      <c r="C36" s="66"/>
      <c r="D36" s="54"/>
      <c r="E36" s="188"/>
      <c r="F36" s="55"/>
    </row>
    <row r="37" spans="1:10" ht="15.95" customHeight="1">
      <c r="A37" s="14"/>
      <c r="B37" s="60" t="s">
        <v>39</v>
      </c>
      <c r="C37" s="66" t="s">
        <v>18</v>
      </c>
      <c r="D37" s="54">
        <v>1</v>
      </c>
      <c r="E37" s="188"/>
      <c r="F37" s="55"/>
      <c r="G37" s="67"/>
    </row>
    <row r="38" spans="1:10" ht="15.95" customHeight="1">
      <c r="A38" s="14"/>
      <c r="B38" s="68"/>
      <c r="C38" s="66"/>
      <c r="D38" s="54"/>
      <c r="E38" s="188"/>
      <c r="F38" s="55"/>
    </row>
    <row r="39" spans="1:10" ht="15.95" customHeight="1">
      <c r="A39" s="1" t="str">
        <f>VLOOKUP(Tabel_Totaal_werkzaamheden243[[#This Row],[OMSCHRIJVING]],Blad1!A:C,3,FALSE)</f>
        <v>2.5.3</v>
      </c>
      <c r="B39" s="15" t="s">
        <v>227</v>
      </c>
      <c r="C39" s="66"/>
      <c r="D39" s="54"/>
      <c r="E39" s="188"/>
      <c r="F39" s="55"/>
    </row>
    <row r="40" spans="1:10" ht="15.95" customHeight="1">
      <c r="A40" s="14"/>
      <c r="B40" s="68" t="s">
        <v>38</v>
      </c>
      <c r="C40" s="66" t="s">
        <v>18</v>
      </c>
      <c r="D40" s="54">
        <v>1</v>
      </c>
      <c r="E40" s="188"/>
      <c r="F40" s="55"/>
      <c r="J40" s="69"/>
    </row>
    <row r="41" spans="1:10" ht="15.95" customHeight="1">
      <c r="A41" s="14"/>
      <c r="B41" s="52"/>
      <c r="C41" s="66"/>
      <c r="D41" s="54"/>
      <c r="E41" s="188"/>
      <c r="F41" s="55"/>
    </row>
    <row r="42" spans="1:10" ht="15.95" customHeight="1">
      <c r="A42" s="1" t="str">
        <f>VLOOKUP(Tabel_Totaal_werkzaamheden243[[#This Row],[OMSCHRIJVING]],Blad1!A:C,3,FALSE)</f>
        <v>3.1</v>
      </c>
      <c r="B42" s="15" t="s">
        <v>180</v>
      </c>
      <c r="C42" s="66"/>
      <c r="D42" s="54"/>
      <c r="E42" s="188"/>
      <c r="F42" s="55"/>
    </row>
    <row r="43" spans="1:10" ht="15.95" customHeight="1">
      <c r="A43" s="14"/>
      <c r="B43" s="60" t="s">
        <v>234</v>
      </c>
      <c r="C43" s="66" t="s">
        <v>18</v>
      </c>
      <c r="D43" s="54">
        <v>1</v>
      </c>
      <c r="E43" s="188"/>
      <c r="F43" s="55"/>
    </row>
    <row r="44" spans="1:10" ht="15.95" customHeight="1">
      <c r="A44" s="14"/>
      <c r="B44" s="60" t="s">
        <v>166</v>
      </c>
      <c r="C44" s="66" t="s">
        <v>18</v>
      </c>
      <c r="D44" s="54">
        <v>1</v>
      </c>
      <c r="E44" s="188"/>
      <c r="F44" s="55"/>
    </row>
    <row r="45" spans="1:10" ht="15.95" customHeight="1">
      <c r="A45" s="14"/>
      <c r="B45" s="52"/>
      <c r="C45" s="66"/>
      <c r="D45" s="54"/>
      <c r="E45" s="188"/>
      <c r="F45" s="55"/>
    </row>
    <row r="46" spans="1:10" ht="15.95" customHeight="1">
      <c r="A46" s="1" t="str">
        <f>VLOOKUP(Tabel_Totaal_werkzaamheden243[[#This Row],[OMSCHRIJVING]],Blad1!A:C,3,FALSE)</f>
        <v>3.3</v>
      </c>
      <c r="B46" s="15" t="s">
        <v>457</v>
      </c>
      <c r="C46" s="66"/>
      <c r="D46" s="54"/>
      <c r="E46" s="188"/>
      <c r="F46" s="55"/>
    </row>
    <row r="47" spans="1:10" ht="15.95" customHeight="1">
      <c r="A47" s="14"/>
      <c r="B47" s="52" t="s">
        <v>22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 t="s">
        <v>238</v>
      </c>
      <c r="C48" s="66" t="s">
        <v>26</v>
      </c>
      <c r="D48" s="54">
        <v>30</v>
      </c>
      <c r="E48" s="188"/>
      <c r="F48" s="55"/>
      <c r="I48" s="21"/>
    </row>
    <row r="49" spans="1:10" ht="15.95" customHeight="1">
      <c r="A49" s="14"/>
      <c r="B49" s="52"/>
      <c r="C49" s="66"/>
      <c r="D49" s="54"/>
      <c r="E49" s="188"/>
      <c r="F49" s="55"/>
    </row>
    <row r="50" spans="1:10" ht="15.95" customHeight="1">
      <c r="A50" s="1" t="str">
        <f>VLOOKUP(Tabel_Totaal_werkzaamheden243[[#This Row],[OMSCHRIJVING]],Blad1!A:C,3,FALSE)</f>
        <v>3.4</v>
      </c>
      <c r="B50" s="70" t="s">
        <v>543</v>
      </c>
      <c r="C50" s="66"/>
      <c r="D50" s="54"/>
      <c r="E50" s="188"/>
      <c r="F50" s="55"/>
    </row>
    <row r="51" spans="1:10" ht="15.95" customHeight="1">
      <c r="A51" s="14"/>
      <c r="B51" s="60" t="s">
        <v>545</v>
      </c>
      <c r="C51" s="66" t="s">
        <v>26</v>
      </c>
      <c r="D51" s="54">
        <v>49</v>
      </c>
      <c r="E51" s="188"/>
      <c r="F51" s="55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VLOOKUP(Tabel_Totaal_werkzaamheden243[[#This Row],[OMSCHRIJVING]],Blad1!A:C,3,FALSE)</f>
        <v>3.5</v>
      </c>
      <c r="B53" s="70" t="s">
        <v>169</v>
      </c>
      <c r="C53" s="66"/>
      <c r="D53" s="54"/>
      <c r="E53" s="188"/>
      <c r="F53" s="55"/>
    </row>
    <row r="54" spans="1:10" ht="15.95" customHeight="1">
      <c r="A54" s="14"/>
      <c r="B54" s="19" t="s">
        <v>179</v>
      </c>
      <c r="C54" s="66" t="s">
        <v>18</v>
      </c>
      <c r="D54" s="54">
        <v>1</v>
      </c>
      <c r="E54" s="188"/>
      <c r="F54" s="55"/>
    </row>
    <row r="55" spans="1:10" ht="15.95" customHeight="1">
      <c r="A55" s="14"/>
      <c r="B55" s="19" t="s">
        <v>170</v>
      </c>
      <c r="C55" s="66" t="s">
        <v>18</v>
      </c>
      <c r="D55" s="54">
        <v>1</v>
      </c>
      <c r="E55" s="188"/>
      <c r="F55" s="55"/>
      <c r="I55" s="69"/>
    </row>
    <row r="56" spans="1:10" ht="15.95" customHeight="1">
      <c r="A56" s="14"/>
      <c r="B56" s="19" t="s">
        <v>178</v>
      </c>
      <c r="C56" s="66" t="s">
        <v>24</v>
      </c>
      <c r="D56" s="54">
        <v>31</v>
      </c>
      <c r="E56" s="188"/>
      <c r="F56" s="55"/>
      <c r="I56" s="71"/>
      <c r="J56" s="71"/>
    </row>
    <row r="57" spans="1:10" ht="15.95" customHeight="1">
      <c r="A57" s="14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VLOOKUP(Tabel_Totaal_werkzaamheden243[[#This Row],[OMSCHRIJVING]],Blad1!A:C,3,FALSE)</f>
        <v>3.6</v>
      </c>
      <c r="B58" s="15" t="s">
        <v>472</v>
      </c>
      <c r="C58" s="66"/>
      <c r="D58" s="54"/>
      <c r="E58" s="188"/>
      <c r="F58" s="55"/>
    </row>
    <row r="59" spans="1:10" ht="15.95" customHeight="1">
      <c r="A59" s="14"/>
      <c r="B59" s="52" t="s">
        <v>186</v>
      </c>
      <c r="C59" s="66" t="s">
        <v>18</v>
      </c>
      <c r="D59" s="54">
        <v>1</v>
      </c>
      <c r="E59" s="188"/>
      <c r="F59" s="55"/>
      <c r="G59" s="67"/>
    </row>
    <row r="60" spans="1:10" ht="15.95" customHeight="1">
      <c r="A60" s="14"/>
      <c r="B60" s="52" t="s">
        <v>167</v>
      </c>
      <c r="C60" s="66" t="s">
        <v>18</v>
      </c>
      <c r="D60" s="54">
        <v>1</v>
      </c>
      <c r="E60" s="188"/>
      <c r="F60" s="55"/>
    </row>
    <row r="61" spans="1:10" ht="15.95" customHeight="1">
      <c r="A61" s="14"/>
      <c r="B61" s="60" t="s">
        <v>172</v>
      </c>
      <c r="C61" s="66" t="s">
        <v>18</v>
      </c>
      <c r="D61" s="54">
        <v>1</v>
      </c>
      <c r="E61" s="188"/>
      <c r="F61" s="55"/>
    </row>
    <row r="62" spans="1:10" ht="15.95" customHeight="1">
      <c r="A62" s="14"/>
      <c r="B62" s="52" t="s">
        <v>23</v>
      </c>
      <c r="C62" s="66" t="s">
        <v>18</v>
      </c>
      <c r="D62" s="54">
        <v>1</v>
      </c>
      <c r="E62" s="188"/>
      <c r="F62" s="55"/>
    </row>
    <row r="63" spans="1:10" ht="15.95" customHeight="1">
      <c r="A63" s="14"/>
      <c r="B63" s="52" t="s">
        <v>25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52" t="s">
        <v>185</v>
      </c>
      <c r="C64" s="66" t="s">
        <v>18</v>
      </c>
      <c r="D64" s="54">
        <v>1</v>
      </c>
      <c r="E64" s="188"/>
      <c r="F64" s="55"/>
      <c r="H64" s="21"/>
    </row>
    <row r="65" spans="1:7" ht="15.95" customHeight="1">
      <c r="A65" s="14"/>
      <c r="B65" s="52" t="s">
        <v>547</v>
      </c>
      <c r="C65" s="66" t="s">
        <v>26</v>
      </c>
      <c r="D65" s="54">
        <v>49</v>
      </c>
      <c r="E65" s="188"/>
      <c r="F65" s="55"/>
    </row>
    <row r="66" spans="1:7" ht="15.95" customHeight="1">
      <c r="A66" s="14"/>
      <c r="B66" s="52" t="s">
        <v>27</v>
      </c>
      <c r="C66" s="66" t="s">
        <v>24</v>
      </c>
      <c r="D66" s="54">
        <v>31</v>
      </c>
      <c r="E66" s="188"/>
      <c r="F66" s="55"/>
    </row>
    <row r="67" spans="1:7" ht="15.95" customHeight="1">
      <c r="A67" s="14"/>
      <c r="B67" s="52" t="s">
        <v>181</v>
      </c>
      <c r="C67" s="66" t="s">
        <v>24</v>
      </c>
      <c r="D67" s="54">
        <v>14</v>
      </c>
      <c r="E67" s="188"/>
      <c r="F67" s="55"/>
    </row>
    <row r="68" spans="1:7" ht="15.95" customHeight="1">
      <c r="A68" s="14"/>
      <c r="B68" s="52" t="s">
        <v>171</v>
      </c>
      <c r="C68" s="66" t="s">
        <v>18</v>
      </c>
      <c r="D68" s="54">
        <v>1</v>
      </c>
      <c r="E68" s="188"/>
      <c r="F68" s="55"/>
    </row>
    <row r="69" spans="1:7" ht="15.95" customHeight="1">
      <c r="A69" s="14"/>
      <c r="B69" s="52"/>
      <c r="C69" s="66"/>
      <c r="D69" s="54"/>
      <c r="E69" s="188"/>
      <c r="F69" s="55"/>
    </row>
    <row r="70" spans="1:7" ht="15.95" customHeight="1">
      <c r="A70" s="1" t="str">
        <f>VLOOKUP(Tabel_Totaal_werkzaamheden243[[#This Row],[OMSCHRIJVING]],Blad1!A:C,3,FALSE)</f>
        <v>3.7</v>
      </c>
      <c r="B70" s="70" t="s">
        <v>174</v>
      </c>
      <c r="C70" s="66"/>
      <c r="D70" s="54"/>
      <c r="E70" s="188"/>
      <c r="F70" s="55"/>
    </row>
    <row r="71" spans="1:7" ht="15.95" customHeight="1">
      <c r="A71" s="14"/>
      <c r="B71" s="19" t="s">
        <v>342</v>
      </c>
      <c r="C71" s="66" t="s">
        <v>26</v>
      </c>
      <c r="D71" s="54">
        <v>20</v>
      </c>
      <c r="E71" s="188"/>
      <c r="F71" s="55"/>
    </row>
    <row r="72" spans="1:7" ht="15.95" customHeight="1">
      <c r="A72" s="14"/>
      <c r="B72" s="52"/>
      <c r="C72" s="66"/>
      <c r="D72" s="54"/>
      <c r="E72" s="188"/>
      <c r="F72" s="55"/>
    </row>
    <row r="73" spans="1:7" ht="15.95" customHeight="1">
      <c r="A73" s="1" t="str">
        <f>VLOOKUP(Tabel_Totaal_werkzaamheden243[[#This Row],[OMSCHRIJVING]],Blad1!A:C,3,FALSE)</f>
        <v>3.8</v>
      </c>
      <c r="B73" s="72" t="s">
        <v>231</v>
      </c>
      <c r="C73" s="73"/>
      <c r="D73" s="54"/>
      <c r="E73" s="188"/>
      <c r="F73" s="55"/>
    </row>
    <row r="74" spans="1:7" ht="15.95" customHeight="1">
      <c r="A74" s="14"/>
      <c r="B74" s="74" t="s">
        <v>28</v>
      </c>
      <c r="C74" s="73" t="s">
        <v>18</v>
      </c>
      <c r="D74" s="54">
        <v>1</v>
      </c>
      <c r="E74" s="188"/>
      <c r="F74" s="55"/>
    </row>
    <row r="75" spans="1:7" ht="15.95" customHeight="1">
      <c r="A75" s="14"/>
      <c r="B75" s="52"/>
      <c r="C75" s="66"/>
      <c r="D75" s="54"/>
      <c r="E75" s="188"/>
      <c r="F75" s="55"/>
    </row>
    <row r="76" spans="1:7" ht="15.95" customHeight="1">
      <c r="A76" s="1" t="str">
        <f>VLOOKUP(Tabel_Totaal_werkzaamheden243[[#This Row],[OMSCHRIJVING]],Blad1!A:C,3,FALSE)</f>
        <v>3.10</v>
      </c>
      <c r="B76" s="15" t="s">
        <v>499</v>
      </c>
      <c r="C76" s="66"/>
      <c r="D76" s="54"/>
      <c r="E76" s="188"/>
      <c r="F76" s="55"/>
    </row>
    <row r="77" spans="1:7" ht="15.95" customHeight="1">
      <c r="A77" s="14"/>
      <c r="B77" s="52" t="s">
        <v>230</v>
      </c>
      <c r="C77" s="66" t="s">
        <v>18</v>
      </c>
      <c r="D77" s="54">
        <v>1</v>
      </c>
      <c r="E77" s="188"/>
      <c r="F77" s="55"/>
    </row>
    <row r="78" spans="1:7" ht="15.95" customHeight="1">
      <c r="A78" s="14" t="str">
        <f>IF(Tabel_Totaal_werkzaamheden243[[#This Row],[OMSCHRIJVING]]="","",_xlfn.XLOOKUP(Tabel_Totaal_werkzaamheden243[[#This Row],[OMSCHRIJVING]],Verwijzingsblad!$B$2:$B$186,Verwijzingsblad!$A$2:$A$186,""))</f>
        <v/>
      </c>
      <c r="B78" s="52"/>
      <c r="C78" s="66"/>
      <c r="D78" s="54"/>
      <c r="E78" s="188"/>
      <c r="F78" s="55"/>
    </row>
    <row r="79" spans="1:7" ht="15.95" customHeight="1">
      <c r="A79" s="211" t="s">
        <v>155</v>
      </c>
      <c r="B79" s="212"/>
      <c r="C79" s="213"/>
      <c r="D79" s="214" t="str">
        <f>B3</f>
        <v>Brug Meeldijk</v>
      </c>
      <c r="E79" s="215" t="str">
        <f>A3</f>
        <v>VB023</v>
      </c>
      <c r="F79" s="216">
        <f>SUBTOTAL(109,Tabel_Totaal_werkzaamheden243[TOTAALBEDRAG IN EURO])</f>
        <v>0</v>
      </c>
      <c r="G79" s="75"/>
    </row>
    <row r="80" spans="1:7" ht="15.95" customHeight="1">
      <c r="A80" s="15"/>
      <c r="B80" s="52"/>
      <c r="C80" s="52"/>
      <c r="D80" s="76"/>
      <c r="E80" s="191"/>
      <c r="F80" s="77"/>
    </row>
    <row r="81" spans="1:6" ht="15.95" customHeight="1">
      <c r="A81" s="15"/>
      <c r="B81" s="52"/>
      <c r="C81" s="52"/>
      <c r="D81" s="76"/>
      <c r="E81" s="191"/>
      <c r="F81" s="77"/>
    </row>
    <row r="82" spans="1:6" ht="15.95" customHeight="1">
      <c r="A82" s="15"/>
      <c r="B82" s="52"/>
      <c r="C82" s="52"/>
      <c r="D82" s="76"/>
      <c r="E82" s="191"/>
      <c r="F82" s="77"/>
    </row>
    <row r="83" spans="1:6" ht="15.95" customHeight="1">
      <c r="A83" s="15"/>
      <c r="B83" s="52"/>
      <c r="C83" s="52"/>
      <c r="D83" s="76"/>
      <c r="E83" s="191"/>
      <c r="F83" s="77"/>
    </row>
    <row r="84" spans="1:6" ht="15.95" customHeight="1">
      <c r="A84" s="15"/>
      <c r="B84" s="52"/>
      <c r="C84" s="52"/>
      <c r="D84" s="76"/>
      <c r="E84" s="191"/>
      <c r="F84" s="77"/>
    </row>
    <row r="85" spans="1:6" ht="15.95" customHeight="1">
      <c r="A85" s="15"/>
      <c r="B85" s="52"/>
      <c r="C85" s="52"/>
      <c r="D85" s="76"/>
      <c r="E85" s="191"/>
      <c r="F85" s="77"/>
    </row>
    <row r="86" spans="1:6" ht="15.95" customHeight="1">
      <c r="A86" s="15"/>
      <c r="B86" s="52"/>
      <c r="C86" s="52"/>
      <c r="D86" s="76"/>
      <c r="E86" s="191"/>
      <c r="F86" s="77"/>
    </row>
    <row r="87" spans="1:6" ht="15.95" customHeight="1">
      <c r="A87" s="15"/>
      <c r="B87" s="52"/>
      <c r="C87" s="52"/>
      <c r="D87" s="76"/>
      <c r="E87" s="191"/>
      <c r="F87" s="77"/>
    </row>
    <row r="88" spans="1:6" ht="15.95" customHeight="1">
      <c r="A88" s="15"/>
      <c r="B88" s="52"/>
      <c r="C88" s="52"/>
      <c r="D88" s="76"/>
      <c r="E88" s="191"/>
      <c r="F88" s="77"/>
    </row>
    <row r="89" spans="1:6" ht="15.95" customHeight="1">
      <c r="E89" s="192"/>
    </row>
    <row r="90" spans="1:6" ht="15.95" customHeight="1">
      <c r="E90" s="192"/>
    </row>
    <row r="91" spans="1:6" ht="15.95" customHeight="1">
      <c r="E91" s="192"/>
    </row>
    <row r="92" spans="1:6" ht="15.95" customHeight="1">
      <c r="E92" s="192"/>
    </row>
    <row r="93" spans="1:6" ht="15.95" customHeight="1">
      <c r="E93" s="192"/>
    </row>
    <row r="94" spans="1:6" ht="15.95" customHeight="1">
      <c r="E94" s="192"/>
    </row>
    <row r="95" spans="1:6" ht="15.95" customHeight="1">
      <c r="E95" s="192"/>
    </row>
    <row r="96" spans="1:6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0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118</v>
      </c>
      <c r="B3" s="23" t="s">
        <v>119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31" t="s">
        <v>270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14.7</v>
      </c>
      <c r="E5" s="31" t="s">
        <v>247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IF(Tabel_Totaal_werkzaamheden242[[#This Row],[OMSCHRIJVING]]="","",_xlfn.XLOOKUP(Tabel_Totaal_werkzaamheden242[[#This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VLOOKUP(Tabel_Totaal_werkzaamheden242[[#This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VLOOKUP(Tabel_Totaal_werkzaamheden242[[#This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VLOOKUP(Tabel_Totaal_werkzaamheden242[[#This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VLOOKUP(Tabel_Totaal_werkzaamheden242[[#This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VLOOKUP(Tabel_Totaal_werkzaamheden242[[#This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VLOOKUP(Tabel_Totaal_werkzaamheden242[[#This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VLOOKUP(Tabel_Totaal_werkzaamheden242[[#This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VLOOKUP(Tabel_Totaal_werkzaamheden242[[#This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VLOOKUP(Tabel_Totaal_werkzaamheden242[[#This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VLOOKUP(Tabel_Totaal_werkzaamheden242[[#This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VLOOKUP(Tabel_Totaal_werkzaamheden242[[#This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VLOOKUP(Tabel_Totaal_werkzaamheden242[[#This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VLOOKUP(Tabel_Totaal_werkzaamheden242[[#This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15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VLOOKUP(Tabel_Totaal_werkzaamheden242[[#This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27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VLOOKUP(Tabel_Totaal_werkzaamheden242[[#This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30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VLOOKUP(Tabel_Totaal_werkzaamheden242[[#This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542</v>
      </c>
      <c r="C68" s="66" t="s">
        <v>26</v>
      </c>
      <c r="D68" s="54">
        <v>27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30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12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VLOOKUP(Tabel_Totaal_werkzaamheden242[[#This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6"/>
      <c r="B74" s="164" t="s">
        <v>340</v>
      </c>
      <c r="C74" s="162" t="s">
        <v>26</v>
      </c>
      <c r="D74" s="156">
        <v>15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VLOOKUP(Tabel_Totaal_werkzaamheden242[[#This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s="97" customFormat="1" ht="15.95" customHeight="1">
      <c r="A77" s="12"/>
      <c r="B77" s="74" t="s">
        <v>219</v>
      </c>
      <c r="C77" s="73" t="s">
        <v>18</v>
      </c>
      <c r="D77" s="54">
        <v>1</v>
      </c>
      <c r="E77" s="188"/>
      <c r="F77" s="55"/>
      <c r="G77" s="96"/>
    </row>
    <row r="78" spans="1:8" ht="15.95" customHeight="1">
      <c r="A78" s="14"/>
      <c r="B78" s="74" t="s">
        <v>28</v>
      </c>
      <c r="C78" s="73" t="s">
        <v>18</v>
      </c>
      <c r="D78" s="54">
        <v>1</v>
      </c>
      <c r="E78" s="188"/>
      <c r="F78" s="55"/>
    </row>
    <row r="79" spans="1:8" ht="15.95" customHeight="1">
      <c r="A79" s="14"/>
      <c r="B79" s="52"/>
      <c r="C79" s="66"/>
      <c r="D79" s="54"/>
      <c r="E79" s="188"/>
      <c r="F79" s="55"/>
    </row>
    <row r="80" spans="1:8" ht="15.95" customHeight="1">
      <c r="A80" s="1" t="str">
        <f>VLOOKUP(Tabel_Totaal_werkzaamheden242[[#This Row],[OMSCHRIJVING]],Blad1!A:C,3,FALSE)</f>
        <v>3.10</v>
      </c>
      <c r="B80" s="15" t="s">
        <v>499</v>
      </c>
      <c r="C80" s="66"/>
      <c r="D80" s="54"/>
      <c r="E80" s="188"/>
      <c r="F80" s="55"/>
    </row>
    <row r="81" spans="1:7" ht="15.95" customHeight="1">
      <c r="A81" s="14"/>
      <c r="B81" s="52" t="s">
        <v>230</v>
      </c>
      <c r="C81" s="66" t="s">
        <v>18</v>
      </c>
      <c r="D81" s="54">
        <v>1</v>
      </c>
      <c r="E81" s="188"/>
      <c r="F81" s="55"/>
    </row>
    <row r="82" spans="1:7" ht="15.95" customHeight="1">
      <c r="A82" s="14" t="str">
        <f>IF(Tabel_Totaal_werkzaamheden242[[#This Row],[OMSCHRIJVING]]="","",_xlfn.XLOOKUP(Tabel_Totaal_werkzaamheden242[[#This Row],[OMSCHRIJVING]],Verwijzingsblad!$B$2:$B$186,Verwijzingsblad!$A$2:$A$186,""))</f>
        <v/>
      </c>
      <c r="B82" s="52"/>
      <c r="C82" s="66"/>
      <c r="D82" s="54"/>
      <c r="E82" s="188"/>
      <c r="F82" s="55"/>
    </row>
    <row r="83" spans="1:7" ht="15.95" customHeight="1">
      <c r="A83" s="205" t="s">
        <v>155</v>
      </c>
      <c r="B83" s="206"/>
      <c r="C83" s="207"/>
      <c r="D83" s="208" t="str">
        <f>B3</f>
        <v>Brug Duprepad</v>
      </c>
      <c r="E83" s="209" t="str">
        <f>A3</f>
        <v>VOZ-01</v>
      </c>
      <c r="F83" s="210">
        <f>SUBTOTAL(109,Tabel_Totaal_werkzaamheden242[TOTAALBEDRAG IN EURO])</f>
        <v>0</v>
      </c>
      <c r="G83" s="75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9">
    <pageSetUpPr fitToPage="1"/>
  </sheetPr>
  <dimension ref="A1:J172"/>
  <sheetViews>
    <sheetView view="pageBreakPreview" topLeftCell="A3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120</v>
      </c>
      <c r="B3" s="23" t="s">
        <v>121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31" t="s">
        <v>270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14.7</v>
      </c>
      <c r="E5" s="31" t="s">
        <v>247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IF(Tabel_Totaal_werkzaamheden241[[#This Row],[OMSCHRIJVING]]="","",_xlfn.XLOOKUP(Tabel_Totaal_werkzaamheden241[[#This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VLOOKUP(Tabel_Totaal_werkzaamheden241[[#This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VLOOKUP(Tabel_Totaal_werkzaamheden241[[#This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VLOOKUP(Tabel_Totaal_werkzaamheden241[[#This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6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VLOOKUP(Tabel_Totaal_werkzaamheden241[[#This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VLOOKUP(Tabel_Totaal_werkzaamheden241[[#This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VLOOKUP(Tabel_Totaal_werkzaamheden241[[#This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VLOOKUP(Tabel_Totaal_werkzaamheden241[[#This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VLOOKUP(Tabel_Totaal_werkzaamheden241[[#This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VLOOKUP(Tabel_Totaal_werkzaamheden241[[#This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VLOOKUP(Tabel_Totaal_werkzaamheden241[[#This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VLOOKUP(Tabel_Totaal_werkzaamheden241[[#This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VLOOKUP(Tabel_Totaal_werkzaamheden241[[#This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VLOOKUP(Tabel_Totaal_werkzaamheden241[[#This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15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VLOOKUP(Tabel_Totaal_werkzaamheden241[[#This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27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VLOOKUP(Tabel_Totaal_werkzaamheden241[[#This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30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VLOOKUP(Tabel_Totaal_werkzaamheden241[[#This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542</v>
      </c>
      <c r="C68" s="66" t="s">
        <v>26</v>
      </c>
      <c r="D68" s="54">
        <v>27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30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12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VLOOKUP(Tabel_Totaal_werkzaamheden241[[#This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6"/>
      <c r="B74" s="164" t="s">
        <v>340</v>
      </c>
      <c r="C74" s="162" t="s">
        <v>26</v>
      </c>
      <c r="D74" s="156">
        <v>15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VLOOKUP(Tabel_Totaal_werkzaamheden241[[#This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s="97" customFormat="1" ht="15.95" customHeight="1">
      <c r="A77" s="12"/>
      <c r="B77" s="74" t="s">
        <v>219</v>
      </c>
      <c r="C77" s="73" t="s">
        <v>18</v>
      </c>
      <c r="D77" s="54">
        <v>1</v>
      </c>
      <c r="E77" s="188"/>
      <c r="F77" s="55"/>
      <c r="G77" s="96"/>
    </row>
    <row r="78" spans="1:8" ht="15.95" customHeight="1">
      <c r="A78" s="14"/>
      <c r="B78" s="74" t="s">
        <v>28</v>
      </c>
      <c r="C78" s="73" t="s">
        <v>18</v>
      </c>
      <c r="D78" s="54">
        <v>1</v>
      </c>
      <c r="E78" s="188"/>
      <c r="F78" s="55"/>
    </row>
    <row r="79" spans="1:8" ht="15.95" customHeight="1">
      <c r="A79" s="14"/>
      <c r="B79" s="52"/>
      <c r="C79" s="66"/>
      <c r="D79" s="54"/>
      <c r="E79" s="188"/>
      <c r="F79" s="55"/>
    </row>
    <row r="80" spans="1:8" ht="15.95" customHeight="1">
      <c r="A80" s="1" t="str">
        <f>VLOOKUP(Tabel_Totaal_werkzaamheden241[[#This Row],[OMSCHRIJVING]],Blad1!A:C,3,FALSE)</f>
        <v>3.10</v>
      </c>
      <c r="B80" s="15" t="s">
        <v>499</v>
      </c>
      <c r="C80" s="66"/>
      <c r="D80" s="54"/>
      <c r="E80" s="188"/>
      <c r="F80" s="55"/>
    </row>
    <row r="81" spans="1:7" ht="15.95" customHeight="1">
      <c r="A81" s="14"/>
      <c r="B81" s="52" t="s">
        <v>230</v>
      </c>
      <c r="C81" s="66" t="s">
        <v>18</v>
      </c>
      <c r="D81" s="54">
        <v>1</v>
      </c>
      <c r="E81" s="188"/>
      <c r="F81" s="55"/>
    </row>
    <row r="82" spans="1:7" ht="15.95" customHeight="1">
      <c r="A82" s="14" t="str">
        <f>IF(Tabel_Totaal_werkzaamheden241[[#This Row],[OMSCHRIJVING]]="","",_xlfn.XLOOKUP(Tabel_Totaal_werkzaamheden241[[#This Row],[OMSCHRIJVING]],Verwijzingsblad!$B$2:$B$186,Verwijzingsblad!$A$2:$A$186,""))</f>
        <v/>
      </c>
      <c r="B82" s="52"/>
      <c r="C82" s="66"/>
      <c r="D82" s="54"/>
      <c r="E82" s="188"/>
      <c r="F82" s="55"/>
    </row>
    <row r="83" spans="1:7" ht="15.95" customHeight="1">
      <c r="A83" s="205" t="s">
        <v>155</v>
      </c>
      <c r="B83" s="206"/>
      <c r="C83" s="207"/>
      <c r="D83" s="208" t="str">
        <f>B3</f>
        <v>Brug Rousselpad</v>
      </c>
      <c r="E83" s="209" t="str">
        <f>A3</f>
        <v>VOZ-02</v>
      </c>
      <c r="F83" s="210">
        <f>SUBTOTAL(109,Tabel_Totaal_werkzaamheden241[TOTAALBEDRAG IN EURO])</f>
        <v>0</v>
      </c>
      <c r="G83" s="75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8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122</v>
      </c>
      <c r="B3" s="23" t="s">
        <v>123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1.8</v>
      </c>
      <c r="E4" s="152" t="s">
        <v>270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14.7</v>
      </c>
      <c r="E5" s="152" t="s">
        <v>269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IF(Tabel_Totaal_werkzaamheden240[[#This Row],[OMSCHRIJVING]]="","",_xlfn.XLOOKUP(Tabel_Totaal_werkzaamheden240[[#This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VLOOKUP(Tabel_Totaal_werkzaamheden240[[#This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VLOOKUP(Tabel_Totaal_werkzaamheden240[[#This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VLOOKUP(Tabel_Totaal_werkzaamheden240[[#This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VLOOKUP(Tabel_Totaal_werkzaamheden240[[#This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VLOOKUP(Tabel_Totaal_werkzaamheden240[[#This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VLOOKUP(Tabel_Totaal_werkzaamheden240[[#This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VLOOKUP(Tabel_Totaal_werkzaamheden240[[#This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VLOOKUP(Tabel_Totaal_werkzaamheden240[[#This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VLOOKUP(Tabel_Totaal_werkzaamheden240[[#This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VLOOKUP(Tabel_Totaal_werkzaamheden240[[#This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VLOOKUP(Tabel_Totaal_werkzaamheden240[[#This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VLOOKUP(Tabel_Totaal_werkzaamheden240[[#This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VLOOKUP(Tabel_Totaal_werkzaamheden240[[#This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50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VLOOKUP(Tabel_Totaal_werkzaamheden240[[#This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27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VLOOKUP(Tabel_Totaal_werkzaamheden240[[#This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30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VLOOKUP(Tabel_Totaal_werkzaamheden240[[#This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542</v>
      </c>
      <c r="C68" s="66" t="s">
        <v>26</v>
      </c>
      <c r="D68" s="54">
        <v>27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30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12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VLOOKUP(Tabel_Totaal_werkzaamheden240[[#This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ht="32.1" customHeight="1">
      <c r="A74" s="14"/>
      <c r="B74" s="19" t="s">
        <v>340</v>
      </c>
      <c r="C74" s="66" t="s">
        <v>26</v>
      </c>
      <c r="D74" s="54">
        <v>50</v>
      </c>
      <c r="E74" s="188"/>
      <c r="F74" s="55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VLOOKUP(Tabel_Totaal_werkzaamheden240[[#This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s="97" customFormat="1" ht="15.95" customHeight="1">
      <c r="A77" s="12"/>
      <c r="B77" s="74" t="s">
        <v>219</v>
      </c>
      <c r="C77" s="73" t="s">
        <v>18</v>
      </c>
      <c r="D77" s="54">
        <v>1</v>
      </c>
      <c r="E77" s="188"/>
      <c r="F77" s="55"/>
      <c r="G77" s="96"/>
    </row>
    <row r="78" spans="1:8" ht="15.95" customHeight="1">
      <c r="A78" s="14"/>
      <c r="B78" s="74" t="s">
        <v>28</v>
      </c>
      <c r="C78" s="73" t="s">
        <v>18</v>
      </c>
      <c r="D78" s="54">
        <v>1</v>
      </c>
      <c r="E78" s="188"/>
      <c r="F78" s="55"/>
    </row>
    <row r="79" spans="1:8" ht="15.95" customHeight="1">
      <c r="A79" s="14"/>
      <c r="B79" s="52"/>
      <c r="C79" s="66"/>
      <c r="D79" s="54"/>
      <c r="E79" s="188"/>
      <c r="F79" s="55"/>
    </row>
    <row r="80" spans="1:8" ht="15.95" customHeight="1">
      <c r="A80" s="1" t="str">
        <f>VLOOKUP(Tabel_Totaal_werkzaamheden240[[#This Row],[OMSCHRIJVING]],Blad1!A:C,3,FALSE)</f>
        <v>3.9</v>
      </c>
      <c r="B80" s="72" t="s">
        <v>184</v>
      </c>
      <c r="C80" s="73"/>
      <c r="D80" s="54"/>
      <c r="E80" s="188"/>
      <c r="F80" s="55"/>
    </row>
    <row r="81" spans="1:7" s="97" customFormat="1" ht="15.95" customHeight="1">
      <c r="A81" s="219" t="s">
        <v>497</v>
      </c>
      <c r="B81" s="74" t="s">
        <v>220</v>
      </c>
      <c r="C81" s="73" t="s">
        <v>18</v>
      </c>
      <c r="D81" s="54">
        <v>1</v>
      </c>
      <c r="E81" s="188"/>
      <c r="F81" s="55"/>
      <c r="G81" s="96"/>
    </row>
    <row r="82" spans="1:7" ht="15.95" customHeight="1">
      <c r="A82" s="14"/>
      <c r="B82" s="52"/>
      <c r="C82" s="66"/>
      <c r="D82" s="54"/>
      <c r="E82" s="188"/>
      <c r="F82" s="55"/>
    </row>
    <row r="83" spans="1:7" ht="15.95" customHeight="1">
      <c r="A83" s="1" t="str">
        <f>VLOOKUP(Tabel_Totaal_werkzaamheden240[[#This Row],[OMSCHRIJVING]],Blad1!A:C,3,FALSE)</f>
        <v>3.10</v>
      </c>
      <c r="B83" s="15" t="s">
        <v>499</v>
      </c>
      <c r="C83" s="66"/>
      <c r="D83" s="54"/>
      <c r="E83" s="188"/>
      <c r="F83" s="55"/>
    </row>
    <row r="84" spans="1:7" ht="15.95" customHeight="1">
      <c r="A84" s="14"/>
      <c r="B84" s="52" t="s">
        <v>230</v>
      </c>
      <c r="C84" s="66" t="s">
        <v>18</v>
      </c>
      <c r="D84" s="54">
        <v>1</v>
      </c>
      <c r="E84" s="188"/>
      <c r="F84" s="55"/>
    </row>
    <row r="85" spans="1:7" ht="15.95" customHeight="1">
      <c r="A85" s="14" t="str">
        <f>IF(Tabel_Totaal_werkzaamheden240[[#This Row],[OMSCHRIJVING]]="","",_xlfn.XLOOKUP(Tabel_Totaal_werkzaamheden240[[#This Row],[OMSCHRIJVING]],Verwijzingsblad!$B$2:$B$186,Verwijzingsblad!$A$2:$A$186,""))</f>
        <v/>
      </c>
      <c r="B85" s="52"/>
      <c r="C85" s="66"/>
      <c r="D85" s="54"/>
      <c r="E85" s="188"/>
      <c r="F85" s="55"/>
    </row>
    <row r="86" spans="1:7" ht="15.95" customHeight="1">
      <c r="A86" s="205" t="s">
        <v>155</v>
      </c>
      <c r="B86" s="206"/>
      <c r="C86" s="207"/>
      <c r="D86" s="208" t="str">
        <f>B3</f>
        <v>Brug Bonnetpad</v>
      </c>
      <c r="E86" s="209" t="str">
        <f>A3</f>
        <v>VOZ-03</v>
      </c>
      <c r="F86" s="210">
        <f>SUBTOTAL(109,Tabel_Totaal_werkzaamheden240[TOTAALBEDRAG IN EURO])</f>
        <v>0</v>
      </c>
      <c r="G86" s="75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7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124</v>
      </c>
      <c r="B3" s="23" t="s">
        <v>125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</v>
      </c>
      <c r="E4" s="152" t="s">
        <v>254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18.3</v>
      </c>
      <c r="E5" s="152" t="s">
        <v>271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IF(Tabel_Totaal_werkzaamheden239[[#This Row],[OMSCHRIJVING]]="","",_xlfn.XLOOKUP(Tabel_Totaal_werkzaamheden239[[#This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VLOOKUP(Tabel_Totaal_werkzaamheden239[[#This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VLOOKUP(Tabel_Totaal_werkzaamheden239[[#This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VLOOKUP(Tabel_Totaal_werkzaamheden239[[#This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VLOOKUP(Tabel_Totaal_werkzaamheden239[[#This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VLOOKUP(Tabel_Totaal_werkzaamheden239[[#This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VLOOKUP(Tabel_Totaal_werkzaamheden239[[#This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VLOOKUP(Tabel_Totaal_werkzaamheden239[[#This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VLOOKUP(Tabel_Totaal_werkzaamheden239[[#This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VLOOKUP(Tabel_Totaal_werkzaamheden239[[#This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VLOOKUP(Tabel_Totaal_werkzaamheden239[[#This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VLOOKUP(Tabel_Totaal_werkzaamheden239[[#This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VLOOKUP(Tabel_Totaal_werkzaamheden239[[#This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VLOOKUP(Tabel_Totaal_werkzaamheden239[[#This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50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VLOOKUP(Tabel_Totaal_werkzaamheden239[[#This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55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VLOOKUP(Tabel_Totaal_werkzaamheden239[[#This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37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VLOOKUP(Tabel_Totaal_werkzaamheden239[[#This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547</v>
      </c>
      <c r="C68" s="66" t="s">
        <v>26</v>
      </c>
      <c r="D68" s="54">
        <v>55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37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14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VLOOKUP(Tabel_Totaal_werkzaamheden239[[#This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6"/>
      <c r="B74" s="164" t="s">
        <v>340</v>
      </c>
      <c r="C74" s="162" t="s">
        <v>26</v>
      </c>
      <c r="D74" s="156">
        <v>50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VLOOKUP(Tabel_Totaal_werkzaamheden239[[#This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4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VLOOKUP(Tabel_Totaal_werkzaamheden239[[#This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4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4" t="str">
        <f>IF(Tabel_Totaal_werkzaamheden239[[#This Row],[OMSCHRIJVING]]="","",_xlfn.XLOOKUP(Tabel_Totaal_werkzaamheden239[[#This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2 Westdijk</v>
      </c>
      <c r="E82" s="209" t="str">
        <f>A3</f>
        <v>VOZ-12</v>
      </c>
      <c r="F82" s="210">
        <f>SUBTOTAL(109,Tabel_Totaal_werkzaamheden239[TOTAALBEDRAG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6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126</v>
      </c>
      <c r="B3" s="23" t="s">
        <v>127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2.4</v>
      </c>
      <c r="E4" s="152" t="s">
        <v>254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18.5</v>
      </c>
      <c r="E5" s="152" t="s">
        <v>263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/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VLOOKUP(Tabel_Totaal_werkzaamheden238[[#This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VLOOKUP(Tabel_Totaal_werkzaamheden238[[#This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VLOOKUP(Tabel_Totaal_werkzaamheden238[[#This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VLOOKUP(Tabel_Totaal_werkzaamheden238[[#This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VLOOKUP(Tabel_Totaal_werkzaamheden238[[#This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VLOOKUP(Tabel_Totaal_werkzaamheden238[[#This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VLOOKUP(Tabel_Totaal_werkzaamheden238[[#This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VLOOKUP(Tabel_Totaal_werkzaamheden238[[#This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VLOOKUP(Tabel_Totaal_werkzaamheden238[[#This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VLOOKUP(Tabel_Totaal_werkzaamheden238[[#This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VLOOKUP(Tabel_Totaal_werkzaamheden238[[#This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VLOOKUP(Tabel_Totaal_werkzaamheden238[[#This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VLOOKUP(Tabel_Totaal_werkzaamheden238[[#This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40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VLOOKUP(Tabel_Totaal_werkzaamheden238[[#This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45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VLOOKUP(Tabel_Totaal_werkzaamheden238[[#This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37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VLOOKUP(Tabel_Totaal_werkzaamheden238[[#This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547</v>
      </c>
      <c r="C68" s="66" t="s">
        <v>26</v>
      </c>
      <c r="D68" s="54">
        <v>45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37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14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VLOOKUP(Tabel_Totaal_werkzaamheden238[[#This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6"/>
      <c r="B74" s="164" t="s">
        <v>340</v>
      </c>
      <c r="C74" s="162" t="s">
        <v>26</v>
      </c>
      <c r="D74" s="156">
        <v>40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VLOOKUP(Tabel_Totaal_werkzaamheden238[[#This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4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VLOOKUP(Tabel_Totaal_werkzaamheden238[[#This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4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4" t="str">
        <f>IF(Tabel_Totaal_werkzaamheden238[[#This Row],[OMSCHRIJVING]]="","",_xlfn.XLOOKUP(Tabel_Totaal_werkzaamheden238[[#This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3 Westdijk</v>
      </c>
      <c r="E82" s="209" t="str">
        <f>A3</f>
        <v>VOZ-13</v>
      </c>
      <c r="F82" s="210">
        <f>SUBTOTAL(109,Tabel_Totaal_werkzaamheden238[TOTAALBEDRAG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5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128</v>
      </c>
      <c r="B3" s="23" t="s">
        <v>129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3.55</v>
      </c>
      <c r="E4" s="152" t="s">
        <v>258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15.5</v>
      </c>
      <c r="E5" s="152" t="s">
        <v>272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IF(Tabel_Totaal_werkzaamheden237[[#This Row],[OMSCHRIJVING]]="","",_xlfn.XLOOKUP(Tabel_Totaal_werkzaamheden237[[#This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VLOOKUP(Tabel_Totaal_werkzaamheden237[[#This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VLOOKUP(Tabel_Totaal_werkzaamheden237[[#This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VLOOKUP(Tabel_Totaal_werkzaamheden237[[#This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VLOOKUP(Tabel_Totaal_werkzaamheden237[[#This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VLOOKUP(Tabel_Totaal_werkzaamheden237[[#This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VLOOKUP(Tabel_Totaal_werkzaamheden237[[#This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VLOOKUP(Tabel_Totaal_werkzaamheden237[[#This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VLOOKUP(Tabel_Totaal_werkzaamheden237[[#This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VLOOKUP(Tabel_Totaal_werkzaamheden237[[#This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VLOOKUP(Tabel_Totaal_werkzaamheden237[[#This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VLOOKUP(Tabel_Totaal_werkzaamheden237[[#This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VLOOKUP(Tabel_Totaal_werkzaamheden237[[#This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VLOOKUP(Tabel_Totaal_werkzaamheden237[[#This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316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11</v>
      </c>
      <c r="E51" s="188"/>
      <c r="F51" s="55"/>
      <c r="I51" s="21"/>
    </row>
    <row r="52" spans="1:10" ht="15.95" customHeight="1">
      <c r="A52" s="14"/>
      <c r="B52" s="52" t="s">
        <v>237</v>
      </c>
      <c r="C52" s="66" t="s">
        <v>26</v>
      </c>
      <c r="D52" s="54">
        <v>30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VLOOKUP(Tabel_Totaal_werkzaamheden237[[#This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55</v>
      </c>
      <c r="E55" s="188"/>
      <c r="F55" s="55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VLOOKUP(Tabel_Totaal_werkzaamheden237[[#This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31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VLOOKUP(Tabel_Totaal_werkzaamheden237[[#This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4"/>
      <c r="B69" s="52" t="s">
        <v>547</v>
      </c>
      <c r="C69" s="66" t="s">
        <v>26</v>
      </c>
      <c r="D69" s="54">
        <v>55</v>
      </c>
      <c r="E69" s="188"/>
      <c r="F69" s="55"/>
    </row>
    <row r="70" spans="1:8" ht="15.95" customHeight="1">
      <c r="A70" s="14"/>
      <c r="B70" s="52" t="s">
        <v>27</v>
      </c>
      <c r="C70" s="66" t="s">
        <v>24</v>
      </c>
      <c r="D70" s="54">
        <v>31</v>
      </c>
      <c r="E70" s="188"/>
      <c r="F70" s="55"/>
    </row>
    <row r="71" spans="1:8" ht="15.95" customHeight="1">
      <c r="A71" s="14"/>
      <c r="B71" s="52" t="s">
        <v>181</v>
      </c>
      <c r="C71" s="66" t="s">
        <v>24</v>
      </c>
      <c r="D71" s="54">
        <v>15</v>
      </c>
      <c r="E71" s="188"/>
      <c r="F71" s="55"/>
    </row>
    <row r="72" spans="1:8" ht="15.95" customHeight="1">
      <c r="A72" s="14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4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VLOOKUP(Tabel_Totaal_werkzaamheden237[[#This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ht="15.95" customHeight="1">
      <c r="A75" s="14"/>
      <c r="B75" s="19" t="s">
        <v>239</v>
      </c>
      <c r="C75" s="66" t="s">
        <v>26</v>
      </c>
      <c r="D75" s="54">
        <v>11</v>
      </c>
      <c r="E75" s="188"/>
      <c r="F75" s="55"/>
    </row>
    <row r="76" spans="1:8" s="164" customFormat="1" ht="25.5">
      <c r="A76" s="16"/>
      <c r="B76" s="164" t="s">
        <v>340</v>
      </c>
      <c r="C76" s="162" t="s">
        <v>26</v>
      </c>
      <c r="D76" s="156">
        <v>30</v>
      </c>
      <c r="E76" s="193"/>
      <c r="F76" s="157"/>
      <c r="G76" s="163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VLOOKUP(Tabel_Totaal_werkzaamheden237[[#This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4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4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VLOOKUP(Tabel_Totaal_werkzaamheden237[[#This Row],[OMSCHRIJVING]],Blad1!A:C,3,FALSE)</f>
        <v>3.9</v>
      </c>
      <c r="B81" s="72" t="s">
        <v>184</v>
      </c>
      <c r="C81" s="73"/>
      <c r="D81" s="54"/>
      <c r="E81" s="188"/>
      <c r="F81" s="55"/>
    </row>
    <row r="82" spans="1:7" s="97" customFormat="1" ht="15.95" customHeight="1">
      <c r="A82" s="219" t="s">
        <v>493</v>
      </c>
      <c r="B82" s="74" t="s">
        <v>330</v>
      </c>
      <c r="C82" s="165" t="s">
        <v>214</v>
      </c>
      <c r="D82" s="54">
        <v>2</v>
      </c>
      <c r="E82" s="188"/>
      <c r="F82" s="55"/>
      <c r="G82" s="96"/>
    </row>
    <row r="83" spans="1:7" ht="15.95" customHeight="1">
      <c r="A83" s="14"/>
      <c r="B83" s="52"/>
      <c r="C83" s="66"/>
      <c r="D83" s="54"/>
      <c r="E83" s="188"/>
      <c r="F83" s="55"/>
    </row>
    <row r="84" spans="1:7" ht="15.95" customHeight="1">
      <c r="A84" s="1" t="str">
        <f>VLOOKUP(Tabel_Totaal_werkzaamheden237[[#This Row],[OMSCHRIJVING]],Blad1!A:C,3,FALSE)</f>
        <v>3.10</v>
      </c>
      <c r="B84" s="15" t="s">
        <v>499</v>
      </c>
      <c r="C84" s="66"/>
      <c r="D84" s="54"/>
      <c r="E84" s="188"/>
      <c r="F84" s="55"/>
    </row>
    <row r="85" spans="1:7" ht="15.95" customHeight="1">
      <c r="A85" s="14"/>
      <c r="B85" s="52" t="s">
        <v>230</v>
      </c>
      <c r="C85" s="66" t="s">
        <v>18</v>
      </c>
      <c r="D85" s="54">
        <v>1</v>
      </c>
      <c r="E85" s="188"/>
      <c r="F85" s="55"/>
    </row>
    <row r="86" spans="1:7" ht="15.95" customHeight="1">
      <c r="A86" s="14" t="str">
        <f>IF(Tabel_Totaal_werkzaamheden237[[#This Row],[OMSCHRIJVING]]="","",_xlfn.XLOOKUP(Tabel_Totaal_werkzaamheden237[[#This Row],[OMSCHRIJVING]],Verwijzingsblad!$B$2:$B$186,Verwijzingsblad!$A$2:$A$186,""))</f>
        <v/>
      </c>
      <c r="B86" s="52"/>
      <c r="C86" s="66"/>
      <c r="D86" s="54"/>
      <c r="E86" s="188"/>
      <c r="F86" s="55"/>
    </row>
    <row r="87" spans="1:7" ht="15.95" customHeight="1">
      <c r="A87" s="205" t="s">
        <v>155</v>
      </c>
      <c r="B87" s="206"/>
      <c r="C87" s="207"/>
      <c r="D87" s="208" t="str">
        <f>B3</f>
        <v>Brug Pommerolgaard</v>
      </c>
      <c r="E87" s="209" t="str">
        <f>A3</f>
        <v>VRL-01</v>
      </c>
      <c r="F87" s="210">
        <f>SUBTOTAL(109,Tabel_Totaal_werkzaamheden237[TOTAALBEDRAG IN EURO])</f>
        <v>0</v>
      </c>
      <c r="G87" s="75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4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130</v>
      </c>
      <c r="B3" s="23" t="s">
        <v>131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2.4</v>
      </c>
      <c r="E4" s="152" t="s">
        <v>274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8.6</v>
      </c>
      <c r="E5" s="152" t="s">
        <v>273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IF(Tabel_Totaal_werkzaamheden236[[#This Row],[OMSCHRIJVING]]="","",_xlfn.XLOOKUP(Tabel_Totaal_werkzaamheden236[[#This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VLOOKUP(Tabel_Totaal_werkzaamheden236[[#This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VLOOKUP(Tabel_Totaal_werkzaamheden236[[#This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VLOOKUP(Tabel_Totaal_werkzaamheden236[[#This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6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VLOOKUP(Tabel_Totaal_werkzaamheden236[[#This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VLOOKUP(Tabel_Totaal_werkzaamheden236[[#This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VLOOKUP(Tabel_Totaal_werkzaamheden236[[#This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VLOOKUP(Tabel_Totaal_werkzaamheden236[[#This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VLOOKUP(Tabel_Totaal_werkzaamheden236[[#This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VLOOKUP(Tabel_Totaal_werkzaamheden236[[#This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VLOOKUP(Tabel_Totaal_werkzaamheden236[[#This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VLOOKUP(Tabel_Totaal_werkzaamheden236[[#This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VLOOKUP(Tabel_Totaal_werkzaamheden236[[#This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VLOOKUP(Tabel_Totaal_werkzaamheden236[[#This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2.75">
      <c r="A51" s="14"/>
      <c r="B51" s="52" t="s">
        <v>209</v>
      </c>
      <c r="C51" s="66" t="s">
        <v>26</v>
      </c>
      <c r="D51" s="54">
        <v>5</v>
      </c>
      <c r="E51" s="188"/>
      <c r="F51" s="55"/>
    </row>
    <row r="52" spans="1:10" ht="15.95" customHeight="1">
      <c r="A52" s="14"/>
      <c r="B52" s="52" t="s">
        <v>237</v>
      </c>
      <c r="C52" s="66" t="s">
        <v>26</v>
      </c>
      <c r="D52" s="54">
        <v>15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VLOOKUP(Tabel_Totaal_werkzaamheden236[[#This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21</v>
      </c>
      <c r="E55" s="188"/>
      <c r="F55" s="55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VLOOKUP(Tabel_Totaal_werkzaamheden236[[#This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18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VLOOKUP(Tabel_Totaal_werkzaamheden236[[#This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4"/>
      <c r="B69" s="52" t="s">
        <v>542</v>
      </c>
      <c r="C69" s="66" t="s">
        <v>26</v>
      </c>
      <c r="D69" s="54">
        <v>21</v>
      </c>
      <c r="E69" s="188"/>
      <c r="F69" s="55"/>
    </row>
    <row r="70" spans="1:8" ht="15.95" customHeight="1">
      <c r="A70" s="14"/>
      <c r="B70" s="52" t="s">
        <v>27</v>
      </c>
      <c r="C70" s="66" t="s">
        <v>24</v>
      </c>
      <c r="D70" s="54">
        <v>18</v>
      </c>
      <c r="E70" s="188"/>
      <c r="F70" s="55"/>
    </row>
    <row r="71" spans="1:8" ht="15.95" customHeight="1">
      <c r="A71" s="14"/>
      <c r="B71" s="52" t="s">
        <v>181</v>
      </c>
      <c r="C71" s="66" t="s">
        <v>24</v>
      </c>
      <c r="D71" s="54">
        <v>13</v>
      </c>
      <c r="E71" s="188"/>
      <c r="F71" s="55"/>
    </row>
    <row r="72" spans="1:8" ht="15.95" customHeight="1">
      <c r="A72" s="14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4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VLOOKUP(Tabel_Totaal_werkzaamheden236[[#This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ht="15.95" customHeight="1">
      <c r="A75" s="14"/>
      <c r="B75" s="19" t="s">
        <v>239</v>
      </c>
      <c r="C75" s="66" t="s">
        <v>26</v>
      </c>
      <c r="D75" s="54">
        <v>5</v>
      </c>
      <c r="E75" s="188"/>
      <c r="F75" s="55"/>
    </row>
    <row r="76" spans="1:8" s="164" customFormat="1" ht="25.5">
      <c r="A76" s="16"/>
      <c r="B76" s="164" t="s">
        <v>340</v>
      </c>
      <c r="C76" s="162" t="s">
        <v>26</v>
      </c>
      <c r="D76" s="156">
        <v>15</v>
      </c>
      <c r="E76" s="193"/>
      <c r="F76" s="157"/>
      <c r="G76" s="163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VLOOKUP(Tabel_Totaal_werkzaamheden236[[#This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4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4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VLOOKUP(Tabel_Totaal_werkzaamheden236[[#This Row],[OMSCHRIJVING]],Blad1!A:C,3,FALSE)</f>
        <v>3.10</v>
      </c>
      <c r="B81" s="15" t="s">
        <v>499</v>
      </c>
      <c r="C81" s="66"/>
      <c r="D81" s="54"/>
      <c r="E81" s="188"/>
      <c r="F81" s="55"/>
    </row>
    <row r="82" spans="1:7" ht="15.95" customHeight="1">
      <c r="A82" s="14"/>
      <c r="B82" s="52" t="s">
        <v>230</v>
      </c>
      <c r="C82" s="66" t="s">
        <v>18</v>
      </c>
      <c r="D82" s="54">
        <v>1</v>
      </c>
      <c r="E82" s="188"/>
      <c r="F82" s="55"/>
    </row>
    <row r="83" spans="1:7" ht="15.95" customHeight="1">
      <c r="A83" s="14" t="str">
        <f>IF(Tabel_Totaal_werkzaamheden236[[#This Row],[OMSCHRIJVING]]="","",_xlfn.XLOOKUP(Tabel_Totaal_werkzaamheden236[[#This Row],[OMSCHRIJVING]],Verwijzingsblad!$B$2:$B$186,Verwijzingsblad!$A$2:$A$186,""))</f>
        <v/>
      </c>
      <c r="B83" s="52"/>
      <c r="C83" s="66"/>
      <c r="D83" s="54"/>
      <c r="E83" s="188"/>
      <c r="F83" s="55"/>
    </row>
    <row r="84" spans="1:7" ht="15.95" customHeight="1">
      <c r="A84" s="205" t="s">
        <v>155</v>
      </c>
      <c r="B84" s="206"/>
      <c r="C84" s="207"/>
      <c r="D84" s="208" t="str">
        <f>B3</f>
        <v>Brug Tijmdonk</v>
      </c>
      <c r="E84" s="209" t="str">
        <f>A3</f>
        <v>VRL-03</v>
      </c>
      <c r="F84" s="210">
        <f>SUBTOTAL(109,Tabel_Totaal_werkzaamheden236[TOTAALBEDRAG IN EURO])</f>
        <v>0</v>
      </c>
      <c r="G84" s="75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3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132</v>
      </c>
      <c r="B3" s="23" t="s">
        <v>133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3.4</v>
      </c>
      <c r="E4" s="152" t="s">
        <v>276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7.2</v>
      </c>
      <c r="E5" s="152" t="s">
        <v>275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IF(Tabel_Totaal_werkzaamheden234[[#This Row],[OMSCHRIJVING]]="","",_xlfn.XLOOKUP(Tabel_Totaal_werkzaamheden234[[#This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VLOOKUP(Tabel_Totaal_werkzaamheden234[[#This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VLOOKUP(Tabel_Totaal_werkzaamheden234[[#This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VLOOKUP(Tabel_Totaal_werkzaamheden234[[#This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VLOOKUP(Tabel_Totaal_werkzaamheden234[[#This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VLOOKUP(Tabel_Totaal_werkzaamheden234[[#This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VLOOKUP(Tabel_Totaal_werkzaamheden234[[#This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VLOOKUP(Tabel_Totaal_werkzaamheden234[[#This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VLOOKUP(Tabel_Totaal_werkzaamheden234[[#This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VLOOKUP(Tabel_Totaal_werkzaamheden234[[#This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VLOOKUP(Tabel_Totaal_werkzaamheden234[[#This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VLOOKUP(Tabel_Totaal_werkzaamheden234[[#This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VLOOKUP(Tabel_Totaal_werkzaamheden234[[#This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VLOOKUP(Tabel_Totaal_werkzaamheden234[[#This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s="164" customFormat="1" ht="25.5">
      <c r="A51" s="16"/>
      <c r="B51" s="161" t="s">
        <v>317</v>
      </c>
      <c r="C51" s="162" t="s">
        <v>26</v>
      </c>
      <c r="D51" s="156">
        <v>25</v>
      </c>
      <c r="E51" s="193"/>
      <c r="F51" s="157"/>
      <c r="G51" s="163"/>
      <c r="I51" s="163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VLOOKUP(Tabel_Totaal_werkzaamheden234[[#This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25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VLOOKUP(Tabel_Totaal_werkzaamheden234[[#This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15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VLOOKUP(Tabel_Totaal_werkzaamheden234[[#This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547</v>
      </c>
      <c r="C68" s="66" t="s">
        <v>26</v>
      </c>
      <c r="D68" s="54">
        <v>25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15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15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VLOOKUP(Tabel_Totaal_werkzaamheden234[[#This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6"/>
      <c r="B74" s="164" t="s">
        <v>331</v>
      </c>
      <c r="C74" s="162" t="s">
        <v>26</v>
      </c>
      <c r="D74" s="156">
        <v>25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VLOOKUP(Tabel_Totaal_werkzaamheden234[[#This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4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VLOOKUP(Tabel_Totaal_werkzaamheden234[[#This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4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4" t="str">
        <f>IF(Tabel_Totaal_werkzaamheden234[[#This Row],[OMSCHRIJVING]]="","",_xlfn.XLOOKUP(Tabel_Totaal_werkzaamheden234[[#This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Egergaard</v>
      </c>
      <c r="E82" s="209" t="str">
        <f>A3</f>
        <v>VRL-08</v>
      </c>
      <c r="F82" s="210">
        <f>SUBTOTAL(109,Tabel_Totaal_werkzaamheden234[TOTAALBEDRAG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J174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6" ht="15.95" customHeight="1">
      <c r="A1" s="261" t="s">
        <v>41</v>
      </c>
      <c r="B1" s="262"/>
      <c r="C1" s="262"/>
      <c r="D1" s="262"/>
      <c r="E1" s="262"/>
      <c r="F1" s="262"/>
    </row>
    <row r="2" spans="1:6" ht="15.95" customHeight="1" thickBot="1">
      <c r="A2" s="263"/>
      <c r="B2" s="264"/>
      <c r="C2" s="264"/>
      <c r="D2" s="264"/>
      <c r="E2" s="264"/>
      <c r="F2" s="264"/>
    </row>
    <row r="3" spans="1:6" ht="15.75" customHeight="1" thickBot="1">
      <c r="A3" s="22" t="s">
        <v>48</v>
      </c>
      <c r="B3" s="23" t="s">
        <v>49</v>
      </c>
      <c r="C3" s="24"/>
      <c r="D3" s="24"/>
      <c r="E3" s="25"/>
      <c r="F3" s="26"/>
    </row>
    <row r="4" spans="1:6" ht="15.75" customHeight="1">
      <c r="A4" s="242"/>
      <c r="B4" s="221" t="s">
        <v>168</v>
      </c>
      <c r="C4" s="222" t="s">
        <v>225</v>
      </c>
      <c r="D4" s="223">
        <v>3</v>
      </c>
      <c r="E4" s="224" t="s">
        <v>254</v>
      </c>
      <c r="F4" s="243"/>
    </row>
    <row r="5" spans="1:6" ht="15.75" customHeight="1">
      <c r="A5" s="27"/>
      <c r="B5" s="28" t="s">
        <v>315</v>
      </c>
      <c r="C5" s="29" t="s">
        <v>225</v>
      </c>
      <c r="D5" s="30">
        <v>18.5</v>
      </c>
      <c r="E5" s="31" t="s">
        <v>271</v>
      </c>
      <c r="F5" s="32"/>
    </row>
    <row r="6" spans="1:6" ht="15.75" customHeight="1" thickBot="1">
      <c r="A6" s="33"/>
      <c r="B6" s="33"/>
      <c r="C6" s="29"/>
      <c r="D6" s="30"/>
      <c r="E6" s="34"/>
      <c r="F6" s="34"/>
    </row>
    <row r="7" spans="1:6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</row>
    <row r="8" spans="1:6" ht="15.95" customHeight="1">
      <c r="A8" s="1"/>
      <c r="B8" s="41"/>
      <c r="C8" s="42"/>
      <c r="D8" s="42"/>
      <c r="E8" s="186"/>
      <c r="F8" s="43"/>
    </row>
    <row r="9" spans="1:6" ht="15.95" customHeight="1">
      <c r="A9" s="1" t="str">
        <f>VLOOKUP(Tabel_Totaal_werkzaamheden235[[#This Row],[OMSCHRIJVING]],Blad1!A:C,3,FALSE)</f>
        <v>2.4.13</v>
      </c>
      <c r="B9" s="44" t="s">
        <v>157</v>
      </c>
      <c r="C9" s="45"/>
      <c r="D9" s="46"/>
      <c r="E9" s="187"/>
      <c r="F9" s="47"/>
    </row>
    <row r="10" spans="1:6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</row>
    <row r="11" spans="1:6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</row>
    <row r="12" spans="1:6" ht="15.95" customHeight="1">
      <c r="A12" s="1"/>
      <c r="B12" s="52"/>
      <c r="C12" s="53"/>
      <c r="D12" s="54"/>
      <c r="E12" s="188"/>
      <c r="F12" s="55"/>
    </row>
    <row r="13" spans="1:6" ht="15.95" customHeight="1">
      <c r="A13" s="1" t="str">
        <f>VLOOKUP(Tabel_Totaal_werkzaamheden235[[#This Row],[OMSCHRIJVING]],Blad1!A:C,3,FALSE)</f>
        <v>2.4.15</v>
      </c>
      <c r="B13" s="56" t="s">
        <v>42</v>
      </c>
      <c r="C13" s="57"/>
      <c r="D13" s="58"/>
      <c r="E13" s="189"/>
      <c r="F13" s="59"/>
    </row>
    <row r="14" spans="1:6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</row>
    <row r="15" spans="1:6" ht="15.95" customHeight="1">
      <c r="A15" s="1"/>
      <c r="B15" s="60"/>
      <c r="C15" s="61"/>
      <c r="D15" s="54"/>
      <c r="E15" s="188"/>
      <c r="F15" s="55"/>
    </row>
    <row r="16" spans="1:6" ht="15.95" customHeight="1">
      <c r="A16" s="1" t="str">
        <f>VLOOKUP(Tabel_Totaal_werkzaamheden235[[#This Row],[OMSCHRIJVING]],Blad1!A:C,3,FALSE)</f>
        <v>2.4.17</v>
      </c>
      <c r="B16" s="56" t="s">
        <v>43</v>
      </c>
      <c r="C16" s="61"/>
      <c r="D16" s="54"/>
      <c r="E16" s="188"/>
      <c r="F16" s="55"/>
    </row>
    <row r="17" spans="1:6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</row>
    <row r="18" spans="1:6" ht="15.95" customHeight="1">
      <c r="A18" s="1"/>
      <c r="B18" s="60"/>
      <c r="C18" s="61"/>
      <c r="D18" s="54"/>
      <c r="E18" s="188"/>
      <c r="F18" s="55"/>
    </row>
    <row r="19" spans="1:6" ht="15.95" customHeight="1">
      <c r="A19" s="1" t="str">
        <f>VLOOKUP(Tabel_Totaal_werkzaamheden235[[#This Row],[OMSCHRIJVING]],Blad1!A:C,3,FALSE)</f>
        <v>2.4.18</v>
      </c>
      <c r="B19" s="56" t="s">
        <v>182</v>
      </c>
      <c r="C19" s="61"/>
      <c r="D19" s="54"/>
      <c r="E19" s="188"/>
      <c r="F19" s="55"/>
    </row>
    <row r="20" spans="1:6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</row>
    <row r="21" spans="1:6" ht="15.95" customHeight="1">
      <c r="A21" s="1"/>
      <c r="B21" s="62"/>
      <c r="C21" s="180"/>
      <c r="D21" s="64"/>
      <c r="E21" s="190"/>
      <c r="F21" s="65"/>
    </row>
    <row r="22" spans="1:6" ht="15.95" customHeight="1">
      <c r="A22" s="1" t="str">
        <f>VLOOKUP(Tabel_Totaal_werkzaamheden235[[#This Row],[OMSCHRIJVING]],Blad1!A:C,3,FALSE)</f>
        <v>2.4.21</v>
      </c>
      <c r="B22" s="56" t="s">
        <v>29</v>
      </c>
      <c r="C22" s="61"/>
      <c r="D22" s="54"/>
      <c r="E22" s="188"/>
      <c r="F22" s="55"/>
    </row>
    <row r="23" spans="1:6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</row>
    <row r="24" spans="1:6" ht="15.95" customHeight="1">
      <c r="A24" s="1"/>
      <c r="B24" s="60"/>
      <c r="C24" s="61"/>
      <c r="D24" s="54"/>
      <c r="E24" s="188"/>
      <c r="F24" s="55"/>
    </row>
    <row r="25" spans="1:6" ht="15.95" customHeight="1">
      <c r="A25" s="1" t="str">
        <f>VLOOKUP(Tabel_Totaal_werkzaamheden235[[#This Row],[OMSCHRIJVING]],Blad1!A:C,3,FALSE)</f>
        <v>2.4.22</v>
      </c>
      <c r="B25" s="56" t="s">
        <v>159</v>
      </c>
      <c r="C25" s="61"/>
      <c r="D25" s="54"/>
      <c r="E25" s="188"/>
      <c r="F25" s="55"/>
    </row>
    <row r="26" spans="1:6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</row>
    <row r="27" spans="1:6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</row>
    <row r="28" spans="1:6" ht="15.95" customHeight="1">
      <c r="A28" s="1"/>
      <c r="B28" s="52"/>
      <c r="C28" s="66"/>
      <c r="D28" s="54"/>
      <c r="E28" s="188"/>
      <c r="F28" s="55"/>
    </row>
    <row r="29" spans="1:6" ht="15.95" customHeight="1">
      <c r="A29" s="1" t="str">
        <f>VLOOKUP(Tabel_Totaal_werkzaamheden235[[#This Row],[OMSCHRIJVING]],Blad1!A:C,3,FALSE)</f>
        <v>2.4.23</v>
      </c>
      <c r="B29" s="56" t="s">
        <v>160</v>
      </c>
      <c r="C29" s="66"/>
      <c r="D29" s="54"/>
      <c r="E29" s="188"/>
      <c r="F29" s="55"/>
    </row>
    <row r="30" spans="1:6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</row>
    <row r="31" spans="1:6" ht="15.95" customHeight="1">
      <c r="A31" s="1"/>
      <c r="B31" s="52"/>
      <c r="C31" s="66"/>
      <c r="D31" s="54"/>
      <c r="E31" s="188"/>
      <c r="F31" s="55"/>
    </row>
    <row r="32" spans="1:6" ht="15.95" customHeight="1">
      <c r="A32" s="1" t="str">
        <f>VLOOKUP(Tabel_Totaal_werkzaamheden235[[#This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VLOOKUP(Tabel_Totaal_werkzaamheden235[[#This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VLOOKUP(Tabel_Totaal_werkzaamheden235[[#This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VLOOKUP(Tabel_Totaal_werkzaamheden235[[#This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VLOOKUP(Tabel_Totaal_werkzaamheden235[[#This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VLOOKUP(Tabel_Totaal_werkzaamheden235[[#This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286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209</v>
      </c>
      <c r="C51" s="66" t="s">
        <v>26</v>
      </c>
      <c r="D51" s="54">
        <v>8</v>
      </c>
      <c r="E51" s="188"/>
      <c r="F51" s="55"/>
    </row>
    <row r="52" spans="1:10" ht="15.95" customHeight="1">
      <c r="A52" s="1"/>
      <c r="B52" s="52" t="s">
        <v>237</v>
      </c>
      <c r="C52" s="66" t="s">
        <v>26</v>
      </c>
      <c r="D52" s="54">
        <v>17</v>
      </c>
      <c r="E52" s="188"/>
      <c r="F52" s="55"/>
      <c r="I52" s="21"/>
    </row>
    <row r="53" spans="1:10" ht="15.95" customHeight="1">
      <c r="A53" s="1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VLOOKUP(Tabel_Totaal_werkzaamheden235[[#This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"/>
      <c r="B55" s="60" t="s">
        <v>545</v>
      </c>
      <c r="C55" s="66" t="s">
        <v>26</v>
      </c>
      <c r="D55" s="54">
        <v>50</v>
      </c>
      <c r="E55" s="188"/>
      <c r="F55" s="55"/>
    </row>
    <row r="56" spans="1:10" ht="15.95" customHeight="1">
      <c r="A56" s="258" t="str">
        <f>IF(Tabel_Totaal_werkzaamheden235[[#This Row],[OMSCHRIJVING]]="","",_xlfn.IFNA(VLOOKUP(Tabel_Totaal_werkzaamheden235[[#This Row],[OMSCHRIJVING]],Verwijzingsblad!$B$2:$C$186,3,FALSE),""))</f>
        <v/>
      </c>
      <c r="B56" s="60" t="s">
        <v>546</v>
      </c>
      <c r="C56" s="66" t="s">
        <v>26</v>
      </c>
      <c r="D56" s="54">
        <v>6</v>
      </c>
      <c r="E56" s="259"/>
      <c r="F56" s="260"/>
    </row>
    <row r="57" spans="1:10" ht="15.95" customHeight="1">
      <c r="A57" s="1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VLOOKUP(Tabel_Totaal_werkzaamheden235[[#This Row],[OMSCHRIJVING]],Blad1!A:C,3,FALSE)</f>
        <v>3.5</v>
      </c>
      <c r="B58" s="70" t="s">
        <v>169</v>
      </c>
      <c r="C58" s="66"/>
      <c r="D58" s="54"/>
      <c r="E58" s="188"/>
      <c r="F58" s="55"/>
    </row>
    <row r="59" spans="1:10" ht="15.95" customHeight="1">
      <c r="A59" s="1"/>
      <c r="B59" s="19" t="s">
        <v>179</v>
      </c>
      <c r="C59" s="66" t="s">
        <v>18</v>
      </c>
      <c r="D59" s="54">
        <v>1</v>
      </c>
      <c r="E59" s="188"/>
      <c r="F59" s="55"/>
    </row>
    <row r="60" spans="1:10" ht="15.95" customHeight="1">
      <c r="A60" s="1"/>
      <c r="B60" s="19" t="s">
        <v>170</v>
      </c>
      <c r="C60" s="66" t="s">
        <v>18</v>
      </c>
      <c r="D60" s="54">
        <v>1</v>
      </c>
      <c r="E60" s="188"/>
      <c r="F60" s="55"/>
    </row>
    <row r="61" spans="1:10" ht="15.95" customHeight="1">
      <c r="A61" s="1"/>
      <c r="B61" s="19" t="s">
        <v>178</v>
      </c>
      <c r="C61" s="66" t="s">
        <v>24</v>
      </c>
      <c r="D61" s="54">
        <v>37</v>
      </c>
      <c r="E61" s="188"/>
      <c r="F61" s="55"/>
      <c r="I61" s="71"/>
      <c r="J61" s="71"/>
    </row>
    <row r="62" spans="1:10" ht="15.95" customHeight="1">
      <c r="A62" s="1"/>
      <c r="B62" s="52"/>
      <c r="C62" s="66"/>
      <c r="D62" s="54"/>
      <c r="E62" s="188"/>
      <c r="F62" s="55"/>
    </row>
    <row r="63" spans="1:10" ht="15.95" customHeight="1">
      <c r="A63" s="1" t="str">
        <f>VLOOKUP(Tabel_Totaal_werkzaamheden235[[#This Row],[OMSCHRIJVING]],Blad1!A:C,3,FALSE)</f>
        <v>3.6</v>
      </c>
      <c r="B63" s="15" t="s">
        <v>472</v>
      </c>
      <c r="C63" s="66"/>
      <c r="D63" s="54"/>
      <c r="E63" s="188"/>
      <c r="F63" s="55"/>
    </row>
    <row r="64" spans="1:10" ht="15.95" customHeight="1">
      <c r="A64" s="1"/>
      <c r="B64" s="52" t="s">
        <v>186</v>
      </c>
      <c r="C64" s="66" t="s">
        <v>18</v>
      </c>
      <c r="D64" s="54">
        <v>1</v>
      </c>
      <c r="E64" s="188"/>
      <c r="F64" s="55"/>
      <c r="G64" s="67"/>
    </row>
    <row r="65" spans="1:8" ht="15.95" customHeight="1">
      <c r="A65" s="1"/>
      <c r="B65" s="52" t="s">
        <v>167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60" t="s">
        <v>172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23</v>
      </c>
      <c r="C67" s="66" t="s">
        <v>18</v>
      </c>
      <c r="D67" s="54">
        <v>1</v>
      </c>
      <c r="E67" s="188"/>
      <c r="F67" s="55"/>
    </row>
    <row r="68" spans="1:8" ht="15.95" customHeight="1">
      <c r="A68" s="1"/>
      <c r="B68" s="52" t="s">
        <v>25</v>
      </c>
      <c r="C68" s="66" t="s">
        <v>18</v>
      </c>
      <c r="D68" s="54">
        <v>1</v>
      </c>
      <c r="E68" s="188"/>
      <c r="F68" s="55"/>
    </row>
    <row r="69" spans="1:8" ht="15.95" customHeight="1">
      <c r="A69" s="1"/>
      <c r="B69" s="52" t="s">
        <v>185</v>
      </c>
      <c r="C69" s="66" t="s">
        <v>18</v>
      </c>
      <c r="D69" s="54">
        <v>1</v>
      </c>
      <c r="E69" s="188"/>
      <c r="F69" s="55"/>
      <c r="H69" s="21"/>
    </row>
    <row r="70" spans="1:8" ht="15.95" customHeight="1">
      <c r="A70" s="1"/>
      <c r="B70" s="52" t="s">
        <v>548</v>
      </c>
      <c r="C70" s="66" t="s">
        <v>26</v>
      </c>
      <c r="D70" s="54">
        <v>50</v>
      </c>
      <c r="E70" s="188"/>
      <c r="F70" s="55"/>
    </row>
    <row r="71" spans="1:8" ht="15.95" customHeight="1">
      <c r="A71" s="1"/>
      <c r="B71" s="52" t="s">
        <v>549</v>
      </c>
      <c r="C71" s="66" t="s">
        <v>26</v>
      </c>
      <c r="D71" s="54">
        <v>6</v>
      </c>
      <c r="E71" s="188"/>
      <c r="F71" s="55"/>
    </row>
    <row r="72" spans="1:8" ht="15.95" customHeight="1">
      <c r="A72" s="1"/>
      <c r="B72" s="52" t="s">
        <v>27</v>
      </c>
      <c r="C72" s="66" t="s">
        <v>24</v>
      </c>
      <c r="D72" s="54">
        <v>37</v>
      </c>
      <c r="E72" s="188"/>
      <c r="F72" s="55"/>
    </row>
    <row r="73" spans="1:8" ht="15.95" customHeight="1">
      <c r="A73" s="1"/>
      <c r="B73" s="60" t="s">
        <v>181</v>
      </c>
      <c r="C73" s="66" t="s">
        <v>24</v>
      </c>
      <c r="D73" s="54">
        <v>10</v>
      </c>
      <c r="E73" s="188"/>
      <c r="F73" s="55"/>
    </row>
    <row r="74" spans="1:8" ht="15.95" customHeight="1">
      <c r="A74" s="1"/>
      <c r="B74" s="60" t="s">
        <v>171</v>
      </c>
      <c r="C74" s="66" t="s">
        <v>18</v>
      </c>
      <c r="D74" s="54">
        <v>1</v>
      </c>
      <c r="E74" s="188"/>
      <c r="F74" s="55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VLOOKUP(Tabel_Totaal_werkzaamheden235[[#This Row],[OMSCHRIJVING]],Blad1!A:C,3,FALSE)</f>
        <v>3.7</v>
      </c>
      <c r="B76" s="70" t="s">
        <v>174</v>
      </c>
      <c r="C76" s="66"/>
      <c r="D76" s="54"/>
      <c r="E76" s="188"/>
      <c r="F76" s="55"/>
    </row>
    <row r="77" spans="1:8" ht="15.95" customHeight="1">
      <c r="A77" s="1"/>
      <c r="B77" s="19" t="s">
        <v>239</v>
      </c>
      <c r="C77" s="66" t="s">
        <v>26</v>
      </c>
      <c r="D77" s="54">
        <v>8</v>
      </c>
      <c r="E77" s="188"/>
      <c r="F77" s="55"/>
    </row>
    <row r="78" spans="1:8" s="164" customFormat="1" ht="25.5">
      <c r="A78" s="227"/>
      <c r="B78" s="164" t="s">
        <v>340</v>
      </c>
      <c r="C78" s="162" t="s">
        <v>26</v>
      </c>
      <c r="D78" s="229">
        <v>17</v>
      </c>
      <c r="E78" s="193"/>
      <c r="F78" s="228"/>
      <c r="G78" s="163"/>
    </row>
    <row r="79" spans="1:8" ht="15.95" customHeight="1">
      <c r="A79" s="1"/>
      <c r="B79" s="52"/>
      <c r="C79" s="66"/>
      <c r="D79" s="54"/>
      <c r="E79" s="188"/>
      <c r="F79" s="55"/>
    </row>
    <row r="80" spans="1:8" ht="15.95" customHeight="1">
      <c r="A80" s="1" t="str">
        <f>VLOOKUP(Tabel_Totaal_werkzaamheden235[[#This Row],[OMSCHRIJVING]],Blad1!A:C,3,FALSE)</f>
        <v>3.8</v>
      </c>
      <c r="B80" s="72" t="s">
        <v>231</v>
      </c>
      <c r="C80" s="73"/>
      <c r="D80" s="54"/>
      <c r="E80" s="188"/>
      <c r="F80" s="55"/>
    </row>
    <row r="81" spans="1:7" ht="15.95" customHeight="1">
      <c r="A81" s="1"/>
      <c r="B81" s="74" t="s">
        <v>28</v>
      </c>
      <c r="C81" s="73" t="s">
        <v>18</v>
      </c>
      <c r="D81" s="54">
        <v>1</v>
      </c>
      <c r="E81" s="188"/>
      <c r="F81" s="55"/>
    </row>
    <row r="82" spans="1:7" ht="15.95" customHeight="1">
      <c r="A82" s="1"/>
      <c r="B82" s="52"/>
      <c r="C82" s="66"/>
      <c r="D82" s="54"/>
      <c r="E82" s="188"/>
      <c r="F82" s="55"/>
    </row>
    <row r="83" spans="1:7" ht="15.95" customHeight="1">
      <c r="A83" s="1" t="str">
        <f>VLOOKUP(Tabel_Totaal_werkzaamheden235[[#This Row],[OMSCHRIJVING]],Blad1!A:C,3,FALSE)</f>
        <v>3.10</v>
      </c>
      <c r="B83" s="15" t="s">
        <v>499</v>
      </c>
      <c r="C83" s="66"/>
      <c r="D83" s="54"/>
      <c r="E83" s="188"/>
      <c r="F83" s="55"/>
    </row>
    <row r="84" spans="1:7" ht="15.95" customHeight="1">
      <c r="A84" s="1"/>
      <c r="B84" s="52" t="s">
        <v>230</v>
      </c>
      <c r="C84" s="66" t="s">
        <v>18</v>
      </c>
      <c r="D84" s="54">
        <v>1</v>
      </c>
      <c r="E84" s="188"/>
      <c r="F84" s="55"/>
    </row>
    <row r="85" spans="1:7" ht="15.95" customHeight="1" thickBot="1">
      <c r="A85" s="1" t="str">
        <f>IF(Tabel_Totaal_werkzaamheden235[[#This Row],[OMSCHRIJVING]]="","",_xlfn.XLOOKUP(Tabel_Totaal_werkzaamheden235[[#This Row],[OMSCHRIJVING]],Verwijzingsblad!$B$2:$B$186,Verwijzingsblad!$A$2:$A$186,""))</f>
        <v/>
      </c>
      <c r="B85" s="52"/>
      <c r="C85" s="66"/>
      <c r="D85" s="54"/>
      <c r="E85" s="188"/>
      <c r="F85" s="55"/>
    </row>
    <row r="86" spans="1:7" ht="15.95" customHeight="1" thickTop="1">
      <c r="A86" s="236" t="s">
        <v>155</v>
      </c>
      <c r="B86" s="237"/>
      <c r="C86" s="238"/>
      <c r="D86" s="239" t="str">
        <f>B3</f>
        <v>Brug 1 Lavasdonk</v>
      </c>
      <c r="E86" s="240" t="str">
        <f>A3</f>
        <v>AKK-12</v>
      </c>
      <c r="F86" s="241">
        <f>SUBTOTAL(109,Tabel_Totaal_werkzaamheden235[TOTAALBEDRAG IN EURO])</f>
        <v>0</v>
      </c>
      <c r="G86" s="75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  <row r="173" spans="5:5" ht="15.95" customHeight="1">
      <c r="E173" s="192"/>
    </row>
    <row r="174" spans="5:5" ht="15.95" customHeight="1">
      <c r="E174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2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134</v>
      </c>
      <c r="B3" s="23" t="s">
        <v>135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152" t="s">
        <v>254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9.5</v>
      </c>
      <c r="E5" s="152" t="s">
        <v>277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IF(Tabel_Totaal_werkzaamheden233[[#This Row],[OMSCHRIJVING]]="","",_xlfn.XLOOKUP(Tabel_Totaal_werkzaamheden233[[#This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VLOOKUP(Tabel_Totaal_werkzaamheden233[[#This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VLOOKUP(Tabel_Totaal_werkzaamheden233[[#This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VLOOKUP(Tabel_Totaal_werkzaamheden233[[#This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VLOOKUP(Tabel_Totaal_werkzaamheden233[[#This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VLOOKUP(Tabel_Totaal_werkzaamheden233[[#This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VLOOKUP(Tabel_Totaal_werkzaamheden233[[#This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VLOOKUP(Tabel_Totaal_werkzaamheden233[[#This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VLOOKUP(Tabel_Totaal_werkzaamheden233[[#This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VLOOKUP(Tabel_Totaal_werkzaamheden233[[#This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VLOOKUP(Tabel_Totaal_werkzaamheden233[[#This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VLOOKUP(Tabel_Totaal_werkzaamheden233[[#This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VLOOKUP(Tabel_Totaal_werkzaamheden233[[#This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VLOOKUP(Tabel_Totaal_werkzaamheden233[[#This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292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20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VLOOKUP(Tabel_Totaal_werkzaamheden233[[#This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19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VLOOKUP(Tabel_Totaal_werkzaamheden233[[#This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19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VLOOKUP(Tabel_Totaal_werkzaamheden233[[#This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542</v>
      </c>
      <c r="C68" s="66" t="s">
        <v>26</v>
      </c>
      <c r="D68" s="54">
        <v>19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19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12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VLOOKUP(Tabel_Totaal_werkzaamheden233[[#This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6"/>
      <c r="B74" s="164" t="s">
        <v>340</v>
      </c>
      <c r="C74" s="162" t="s">
        <v>26</v>
      </c>
      <c r="D74" s="156">
        <v>20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VLOOKUP(Tabel_Totaal_werkzaamheden233[[#This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4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VLOOKUP(Tabel_Totaal_werkzaamheden233[[#This Row],[OMSCHRIJVING]],Blad1!A:C,3,FALSE)</f>
        <v>3.9</v>
      </c>
      <c r="B79" s="72" t="s">
        <v>184</v>
      </c>
      <c r="C79" s="73"/>
      <c r="D79" s="54"/>
      <c r="E79" s="188"/>
      <c r="F79" s="55"/>
    </row>
    <row r="80" spans="1:8" s="97" customFormat="1" ht="15.95" customHeight="1">
      <c r="A80" s="219" t="s">
        <v>538</v>
      </c>
      <c r="B80" s="74" t="s">
        <v>221</v>
      </c>
      <c r="C80" s="73" t="s">
        <v>18</v>
      </c>
      <c r="D80" s="54">
        <v>1</v>
      </c>
      <c r="E80" s="188"/>
      <c r="F80" s="55"/>
      <c r="G80" s="96"/>
    </row>
    <row r="81" spans="1:7" ht="15.95" customHeight="1">
      <c r="A81" s="14"/>
      <c r="B81" s="52"/>
      <c r="C81" s="66"/>
      <c r="D81" s="54"/>
      <c r="E81" s="188"/>
      <c r="F81" s="55"/>
    </row>
    <row r="82" spans="1:7" ht="15.95" customHeight="1">
      <c r="A82" s="1" t="str">
        <f>VLOOKUP(Tabel_Totaal_werkzaamheden233[[#This Row],[OMSCHRIJVING]],Blad1!A:C,3,FALSE)</f>
        <v>3.10</v>
      </c>
      <c r="B82" s="15" t="s">
        <v>499</v>
      </c>
      <c r="C82" s="66"/>
      <c r="D82" s="54"/>
      <c r="E82" s="188"/>
      <c r="F82" s="55"/>
    </row>
    <row r="83" spans="1:7" ht="15.95" customHeight="1">
      <c r="A83" s="14"/>
      <c r="B83" s="52" t="s">
        <v>230</v>
      </c>
      <c r="C83" s="66" t="s">
        <v>18</v>
      </c>
      <c r="D83" s="54">
        <v>1</v>
      </c>
      <c r="E83" s="188"/>
      <c r="F83" s="55"/>
    </row>
    <row r="84" spans="1:7" ht="15.95" customHeight="1">
      <c r="A84" s="14" t="str">
        <f>IF(Tabel_Totaal_werkzaamheden233[[#This Row],[OMSCHRIJVING]]="","",_xlfn.XLOOKUP(Tabel_Totaal_werkzaamheden233[[#This Row],[OMSCHRIJVING]],Verwijzingsblad!$B$2:$B$186,Verwijzingsblad!$A$2:$A$186,""))</f>
        <v/>
      </c>
      <c r="B84" s="52"/>
      <c r="C84" s="66"/>
      <c r="D84" s="54"/>
      <c r="E84" s="188"/>
      <c r="F84" s="55"/>
    </row>
    <row r="85" spans="1:7" ht="15.95" customHeight="1">
      <c r="A85" s="205" t="s">
        <v>155</v>
      </c>
      <c r="B85" s="206"/>
      <c r="C85" s="207"/>
      <c r="D85" s="208" t="str">
        <f>B3</f>
        <v>Brug 1 Karperveen</v>
      </c>
      <c r="E85" s="209" t="str">
        <f>A3</f>
        <v>WAL-07</v>
      </c>
      <c r="F85" s="210">
        <f>SUBTOTAL(109,Tabel_Totaal_werkzaamheden233[TOTAALBEDRAG IN EURO])</f>
        <v>0</v>
      </c>
      <c r="G85" s="75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1">
    <pageSetUpPr fitToPage="1"/>
  </sheetPr>
  <dimension ref="A1:J172"/>
  <sheetViews>
    <sheetView view="pageBreakPreview" topLeftCell="A6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136</v>
      </c>
      <c r="B3" s="23" t="s">
        <v>137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2.8</v>
      </c>
      <c r="E4" s="152" t="s">
        <v>279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18.2</v>
      </c>
      <c r="E5" s="152" t="s">
        <v>278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IF(Tabel_Totaal_werkzaamheden232[[#This Row],[OMSCHRIJVING]]="","",_xlfn.XLOOKUP(Tabel_Totaal_werkzaamheden232[[#This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VLOOKUP(Tabel_Totaal_werkzaamheden232[[#This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VLOOKUP(Tabel_Totaal_werkzaamheden232[[#This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VLOOKUP(Tabel_Totaal_werkzaamheden232[[#This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VLOOKUP(Tabel_Totaal_werkzaamheden232[[#This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VLOOKUP(Tabel_Totaal_werkzaamheden232[[#This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VLOOKUP(Tabel_Totaal_werkzaamheden232[[#This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VLOOKUP(Tabel_Totaal_werkzaamheden232[[#This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VLOOKUP(Tabel_Totaal_werkzaamheden232[[#This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VLOOKUP(Tabel_Totaal_werkzaamheden232[[#This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VLOOKUP(Tabel_Totaal_werkzaamheden232[[#This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VLOOKUP(Tabel_Totaal_werkzaamheden232[[#This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VLOOKUP(Tabel_Totaal_werkzaamheden232[[#This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VLOOKUP(Tabel_Totaal_werkzaamheden232[[#This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20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VLOOKUP(Tabel_Totaal_werkzaamheden232[[#This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51</v>
      </c>
      <c r="E54" s="188"/>
      <c r="F54" s="55"/>
    </row>
    <row r="55" spans="1:10" ht="15.95" customHeight="1">
      <c r="A55" s="14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VLOOKUP(Tabel_Totaal_werkzaamheden232[[#This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4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4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178</v>
      </c>
      <c r="C59" s="66" t="s">
        <v>24</v>
      </c>
      <c r="D59" s="54">
        <v>37</v>
      </c>
      <c r="E59" s="188"/>
      <c r="F59" s="55"/>
      <c r="I59" s="71"/>
      <c r="J59" s="71"/>
    </row>
    <row r="60" spans="1:10" ht="15.95" customHeight="1">
      <c r="A60" s="14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VLOOKUP(Tabel_Totaal_werkzaamheden232[[#This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4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4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4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4"/>
      <c r="B68" s="52" t="s">
        <v>547</v>
      </c>
      <c r="C68" s="66" t="s">
        <v>26</v>
      </c>
      <c r="D68" s="54">
        <v>51</v>
      </c>
      <c r="E68" s="188"/>
      <c r="F68" s="55"/>
    </row>
    <row r="69" spans="1:8" ht="15.95" customHeight="1">
      <c r="A69" s="14"/>
      <c r="B69" s="52" t="s">
        <v>27</v>
      </c>
      <c r="C69" s="66" t="s">
        <v>24</v>
      </c>
      <c r="D69" s="54">
        <v>37</v>
      </c>
      <c r="E69" s="188"/>
      <c r="F69" s="55"/>
    </row>
    <row r="70" spans="1:8" ht="15.95" customHeight="1">
      <c r="A70" s="14"/>
      <c r="B70" s="52" t="s">
        <v>181</v>
      </c>
      <c r="C70" s="66" t="s">
        <v>24</v>
      </c>
      <c r="D70" s="54">
        <v>14</v>
      </c>
      <c r="E70" s="188"/>
      <c r="F70" s="55"/>
    </row>
    <row r="71" spans="1:8" ht="15.95" customHeight="1">
      <c r="A71" s="14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4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VLOOKUP(Tabel_Totaal_werkzaamheden232[[#This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16"/>
      <c r="B74" s="164" t="s">
        <v>340</v>
      </c>
      <c r="C74" s="162" t="s">
        <v>26</v>
      </c>
      <c r="D74" s="156">
        <v>20</v>
      </c>
      <c r="E74" s="193"/>
      <c r="F74" s="157"/>
      <c r="G74" s="163"/>
    </row>
    <row r="75" spans="1:8" ht="15.95" customHeight="1">
      <c r="A75" s="14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VLOOKUP(Tabel_Totaal_werkzaamheden232[[#This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4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VLOOKUP(Tabel_Totaal_werkzaamheden232[[#This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4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4" t="str">
        <f>IF(Tabel_Totaal_werkzaamheden232[[#This Row],[OMSCHRIJVING]]="","",_xlfn.XLOOKUP(Tabel_Totaal_werkzaamheden232[[#This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2 Karperveen</v>
      </c>
      <c r="E82" s="209" t="str">
        <f>A3</f>
        <v>WAL-08</v>
      </c>
      <c r="F82" s="210">
        <f>SUBTOTAL(109,Tabel_Totaal_werkzaamheden232[TOTAALBEDRAG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0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138</v>
      </c>
      <c r="B3" s="23" t="s">
        <v>139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3.9</v>
      </c>
      <c r="E4" s="152" t="s">
        <v>276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18.2</v>
      </c>
      <c r="E5" s="152" t="s">
        <v>280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IF(Tabel_Totaal_werkzaamheden231[[#This Row],[OMSCHRIJVING]]="","",_xlfn.XLOOKUP(Tabel_Totaal_werkzaamheden231[[#This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VLOOKUP(Tabel_Totaal_werkzaamheden231[[#This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VLOOKUP(Tabel_Totaal_werkzaamheden231[[#This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VLOOKUP(Tabel_Totaal_werkzaamheden231[[#This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VLOOKUP(Tabel_Totaal_werkzaamheden231[[#This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VLOOKUP(Tabel_Totaal_werkzaamheden231[[#This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VLOOKUP(Tabel_Totaal_werkzaamheden231[[#This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VLOOKUP(Tabel_Totaal_werkzaamheden231[[#This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VLOOKUP(Tabel_Totaal_werkzaamheden231[[#This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VLOOKUP(Tabel_Totaal_werkzaamheden231[[#This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VLOOKUP(Tabel_Totaal_werkzaamheden231[[#This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VLOOKUP(Tabel_Totaal_werkzaamheden231[[#This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VLOOKUP(Tabel_Totaal_werkzaamheden231[[#This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VLOOKUP(Tabel_Totaal_werkzaamheden231[[#This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237</v>
      </c>
      <c r="C51" s="66" t="s">
        <v>26</v>
      </c>
      <c r="D51" s="54">
        <v>50</v>
      </c>
      <c r="E51" s="188"/>
      <c r="F51" s="55"/>
      <c r="I51" s="21"/>
    </row>
    <row r="52" spans="1:10" ht="15.95" customHeight="1">
      <c r="A52" s="14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VLOOKUP(Tabel_Totaal_werkzaamheden231[[#This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4"/>
      <c r="B54" s="60" t="s">
        <v>545</v>
      </c>
      <c r="C54" s="66" t="s">
        <v>26</v>
      </c>
      <c r="D54" s="54">
        <v>71</v>
      </c>
      <c r="E54" s="188"/>
      <c r="F54" s="55"/>
    </row>
    <row r="55" spans="1:10" ht="15.95" customHeight="1">
      <c r="A55" s="14"/>
      <c r="B55" s="60" t="s">
        <v>337</v>
      </c>
      <c r="C55" s="66" t="s">
        <v>26</v>
      </c>
      <c r="D55" s="54">
        <v>3.5</v>
      </c>
      <c r="E55" s="188"/>
      <c r="F55" s="55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VLOOKUP(Tabel_Totaal_werkzaamheden231[[#This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37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VLOOKUP(Tabel_Totaal_werkzaamheden231[[#This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4"/>
      <c r="B69" s="52" t="s">
        <v>547</v>
      </c>
      <c r="C69" s="66" t="s">
        <v>26</v>
      </c>
      <c r="D69" s="54">
        <v>71</v>
      </c>
      <c r="E69" s="188"/>
      <c r="F69" s="55"/>
    </row>
    <row r="70" spans="1:8" ht="15.95" customHeight="1">
      <c r="A70" s="14"/>
      <c r="B70" s="52" t="s">
        <v>27</v>
      </c>
      <c r="C70" s="66" t="s">
        <v>24</v>
      </c>
      <c r="D70" s="54">
        <v>37</v>
      </c>
      <c r="E70" s="188"/>
      <c r="F70" s="55"/>
    </row>
    <row r="71" spans="1:8" ht="15.95" customHeight="1">
      <c r="A71" s="14"/>
      <c r="B71" s="52" t="s">
        <v>181</v>
      </c>
      <c r="C71" s="66" t="s">
        <v>24</v>
      </c>
      <c r="D71" s="54">
        <v>16</v>
      </c>
      <c r="E71" s="188"/>
      <c r="F71" s="55"/>
    </row>
    <row r="72" spans="1:8" ht="15.95" customHeight="1">
      <c r="A72" s="14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4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VLOOKUP(Tabel_Totaal_werkzaamheden231[[#This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s="164" customFormat="1" ht="25.5">
      <c r="A75" s="16"/>
      <c r="B75" s="164" t="s">
        <v>340</v>
      </c>
      <c r="C75" s="162" t="s">
        <v>26</v>
      </c>
      <c r="D75" s="156">
        <v>50</v>
      </c>
      <c r="E75" s="193"/>
      <c r="F75" s="157"/>
      <c r="G75" s="163"/>
    </row>
    <row r="76" spans="1:8" ht="15.95" customHeight="1">
      <c r="A76" s="14"/>
      <c r="B76" s="52"/>
      <c r="C76" s="66"/>
      <c r="D76" s="54"/>
      <c r="E76" s="188"/>
      <c r="F76" s="55"/>
    </row>
    <row r="77" spans="1:8" ht="15.95" customHeight="1">
      <c r="A77" s="1" t="str">
        <f>VLOOKUP(Tabel_Totaal_werkzaamheden231[[#This Row],[OMSCHRIJVING]],Blad1!A:C,3,FALSE)</f>
        <v>3.8</v>
      </c>
      <c r="B77" s="72" t="s">
        <v>231</v>
      </c>
      <c r="C77" s="73"/>
      <c r="D77" s="54"/>
      <c r="E77" s="188"/>
      <c r="F77" s="55"/>
    </row>
    <row r="78" spans="1:8" ht="15.95" customHeight="1">
      <c r="A78" s="14"/>
      <c r="B78" s="74" t="s">
        <v>28</v>
      </c>
      <c r="C78" s="73" t="s">
        <v>18</v>
      </c>
      <c r="D78" s="54">
        <v>1</v>
      </c>
      <c r="E78" s="188"/>
      <c r="F78" s="55"/>
    </row>
    <row r="79" spans="1:8" ht="15.95" customHeight="1">
      <c r="A79" s="14"/>
      <c r="B79" s="52"/>
      <c r="C79" s="66"/>
      <c r="D79" s="54"/>
      <c r="E79" s="188"/>
      <c r="F79" s="55"/>
    </row>
    <row r="80" spans="1:8" ht="15.95" customHeight="1">
      <c r="A80" s="1" t="str">
        <f>VLOOKUP(Tabel_Totaal_werkzaamheden231[[#This Row],[OMSCHRIJVING]],Blad1!A:C,3,FALSE)</f>
        <v>3.9</v>
      </c>
      <c r="B80" s="72" t="s">
        <v>184</v>
      </c>
      <c r="C80" s="73"/>
      <c r="D80" s="54"/>
      <c r="E80" s="188"/>
      <c r="F80" s="55"/>
    </row>
    <row r="81" spans="1:7" s="97" customFormat="1" ht="15.95" customHeight="1">
      <c r="A81" s="219" t="s">
        <v>497</v>
      </c>
      <c r="B81" s="74" t="s">
        <v>222</v>
      </c>
      <c r="C81" s="73" t="s">
        <v>18</v>
      </c>
      <c r="D81" s="54">
        <v>2</v>
      </c>
      <c r="E81" s="188"/>
      <c r="F81" s="55"/>
      <c r="G81" s="96"/>
    </row>
    <row r="82" spans="1:7" ht="15.95" customHeight="1">
      <c r="A82" s="14" t="str">
        <f>IF(Tabel_Totaal_werkzaamheden231[[#This Row],[OMSCHRIJVING]]="","",_xlfn.XLOOKUP(Tabel_Totaal_werkzaamheden231[[#This Row],[OMSCHRIJVING]],Verwijzingsblad!$B$2:$B$186,Verwijzingsblad!$A$2:$A$186,""))</f>
        <v/>
      </c>
      <c r="B82" s="52"/>
      <c r="C82" s="66"/>
      <c r="D82" s="54"/>
      <c r="E82" s="188"/>
      <c r="F82" s="55"/>
    </row>
    <row r="83" spans="1:7" ht="15.95" customHeight="1">
      <c r="A83" s="1" t="str">
        <f>VLOOKUP(Tabel_Totaal_werkzaamheden231[[#This Row],[OMSCHRIJVING]],Blad1!A:C,3,FALSE)</f>
        <v>3.10</v>
      </c>
      <c r="B83" s="15" t="s">
        <v>499</v>
      </c>
      <c r="C83" s="66"/>
      <c r="D83" s="54"/>
      <c r="E83" s="188"/>
      <c r="F83" s="55"/>
    </row>
    <row r="84" spans="1:7" ht="15.95" customHeight="1">
      <c r="A84" s="14"/>
      <c r="B84" s="52" t="s">
        <v>230</v>
      </c>
      <c r="C84" s="66" t="s">
        <v>18</v>
      </c>
      <c r="D84" s="54">
        <v>1</v>
      </c>
      <c r="E84" s="188"/>
      <c r="F84" s="55"/>
    </row>
    <row r="85" spans="1:7" ht="15.95" customHeight="1">
      <c r="A85" s="14" t="str">
        <f>IF(Tabel_Totaal_werkzaamheden231[[#This Row],[OMSCHRIJVING]]="","",_xlfn.XLOOKUP(Tabel_Totaal_werkzaamheden231[[#This Row],[OMSCHRIJVING]],Verwijzingsblad!$B$2:$B$186,Verwijzingsblad!$A$2:$A$186,""))</f>
        <v/>
      </c>
      <c r="B85" s="52"/>
      <c r="C85" s="66"/>
      <c r="D85" s="54"/>
      <c r="E85" s="188"/>
      <c r="F85" s="55"/>
    </row>
    <row r="86" spans="1:7" ht="15.95" customHeight="1">
      <c r="A86" s="205" t="s">
        <v>155</v>
      </c>
      <c r="B86" s="206"/>
      <c r="C86" s="207"/>
      <c r="D86" s="208" t="str">
        <f>B3</f>
        <v>Brug Beverveen</v>
      </c>
      <c r="E86" s="209" t="str">
        <f>A3</f>
        <v>WAL-09</v>
      </c>
      <c r="F86" s="210">
        <f>SUBTOTAL(109,Tabel_Totaal_werkzaamheden231[TOTAALBEDRAG IN EURO])</f>
        <v>0</v>
      </c>
      <c r="G86" s="75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9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140</v>
      </c>
      <c r="B3" s="23" t="s">
        <v>141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152" t="s">
        <v>246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18.2</v>
      </c>
      <c r="E5" s="152" t="s">
        <v>280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IF(Tabel_Totaal_werkzaamheden230[[#This Row],[OMSCHRIJVING]]="","",_xlfn.XLOOKUP(Tabel_Totaal_werkzaamheden230[[#This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VLOOKUP(Tabel_Totaal_werkzaamheden230[[#This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VLOOKUP(Tabel_Totaal_werkzaamheden230[[#This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VLOOKUP(Tabel_Totaal_werkzaamheden230[[#This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VLOOKUP(Tabel_Totaal_werkzaamheden230[[#This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VLOOKUP(Tabel_Totaal_werkzaamheden230[[#This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VLOOKUP(Tabel_Totaal_werkzaamheden230[[#This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VLOOKUP(Tabel_Totaal_werkzaamheden230[[#This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VLOOKUP(Tabel_Totaal_werkzaamheden230[[#This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VLOOKUP(Tabel_Totaal_werkzaamheden230[[#This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VLOOKUP(Tabel_Totaal_werkzaamheden230[[#This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VLOOKUP(Tabel_Totaal_werkzaamheden230[[#This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VLOOKUP(Tabel_Totaal_werkzaamheden230[[#This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VLOOKUP(Tabel_Totaal_werkzaamheden230[[#This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21</v>
      </c>
      <c r="E51" s="188"/>
      <c r="F51" s="55"/>
    </row>
    <row r="52" spans="1:10" ht="15.95" customHeight="1">
      <c r="A52" s="14"/>
      <c r="B52" s="52" t="s">
        <v>237</v>
      </c>
      <c r="C52" s="66" t="s">
        <v>26</v>
      </c>
      <c r="D52" s="54">
        <v>9</v>
      </c>
      <c r="E52" s="188"/>
      <c r="F52" s="55"/>
      <c r="I52" s="21"/>
    </row>
    <row r="53" spans="1:10" s="159" customFormat="1" ht="12.75">
      <c r="A53" s="14"/>
      <c r="B53" s="98" t="s">
        <v>332</v>
      </c>
      <c r="C53" s="160" t="s">
        <v>18</v>
      </c>
      <c r="D53" s="156">
        <v>1</v>
      </c>
      <c r="E53" s="193"/>
      <c r="F53" s="157"/>
      <c r="G53" s="158"/>
      <c r="I53" s="158"/>
    </row>
    <row r="54" spans="1:10" ht="15.95" customHeight="1">
      <c r="A54" s="14"/>
      <c r="B54" s="52"/>
      <c r="C54" s="66"/>
      <c r="D54" s="54"/>
      <c r="E54" s="188"/>
      <c r="F54" s="55"/>
    </row>
    <row r="55" spans="1:10" ht="15.95" customHeight="1">
      <c r="A55" s="1" t="str">
        <f>VLOOKUP(Tabel_Totaal_werkzaamheden230[[#This Row],[OMSCHRIJVING]],Blad1!A:C,3,FALSE)</f>
        <v>3.4</v>
      </c>
      <c r="B55" s="70" t="s">
        <v>543</v>
      </c>
      <c r="C55" s="66"/>
      <c r="D55" s="54"/>
      <c r="E55" s="188"/>
      <c r="F55" s="55"/>
    </row>
    <row r="56" spans="1:10" ht="15.95" customHeight="1">
      <c r="A56" s="14"/>
      <c r="B56" s="60" t="s">
        <v>545</v>
      </c>
      <c r="C56" s="66" t="s">
        <v>26</v>
      </c>
      <c r="D56" s="54">
        <v>36</v>
      </c>
      <c r="E56" s="188"/>
      <c r="F56" s="55"/>
    </row>
    <row r="57" spans="1:10" ht="15.95" customHeight="1">
      <c r="A57" s="14"/>
      <c r="B57" s="52"/>
      <c r="C57" s="66"/>
      <c r="D57" s="54"/>
      <c r="E57" s="188"/>
      <c r="F57" s="55"/>
    </row>
    <row r="58" spans="1:10" ht="15.95" customHeight="1">
      <c r="A58" s="1" t="str">
        <f>VLOOKUP(Tabel_Totaal_werkzaamheden230[[#This Row],[OMSCHRIJVING]],Blad1!A:C,3,FALSE)</f>
        <v>3.5</v>
      </c>
      <c r="B58" s="70" t="s">
        <v>169</v>
      </c>
      <c r="C58" s="66"/>
      <c r="D58" s="54"/>
      <c r="E58" s="188"/>
      <c r="F58" s="55"/>
    </row>
    <row r="59" spans="1:10" ht="15.95" customHeight="1">
      <c r="A59" s="14"/>
      <c r="B59" s="19" t="s">
        <v>179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170</v>
      </c>
      <c r="C60" s="66" t="s">
        <v>18</v>
      </c>
      <c r="D60" s="54">
        <v>1</v>
      </c>
      <c r="E60" s="188"/>
      <c r="F60" s="55"/>
    </row>
    <row r="61" spans="1:10" ht="15.95" customHeight="1">
      <c r="A61" s="14"/>
      <c r="B61" s="19" t="s">
        <v>178</v>
      </c>
      <c r="C61" s="66" t="s">
        <v>24</v>
      </c>
      <c r="D61" s="54">
        <v>37</v>
      </c>
      <c r="E61" s="188"/>
      <c r="F61" s="55"/>
      <c r="I61" s="71"/>
      <c r="J61" s="71"/>
    </row>
    <row r="62" spans="1:10" ht="15.95" customHeight="1">
      <c r="A62" s="14"/>
      <c r="B62" s="52"/>
      <c r="C62" s="66"/>
      <c r="D62" s="54"/>
      <c r="E62" s="188"/>
      <c r="F62" s="55"/>
    </row>
    <row r="63" spans="1:10" ht="15.95" customHeight="1">
      <c r="A63" s="1" t="str">
        <f>VLOOKUP(Tabel_Totaal_werkzaamheden230[[#This Row],[OMSCHRIJVING]],Blad1!A:C,3,FALSE)</f>
        <v>3.6</v>
      </c>
      <c r="B63" s="15" t="s">
        <v>472</v>
      </c>
      <c r="C63" s="66"/>
      <c r="D63" s="54"/>
      <c r="E63" s="188"/>
      <c r="F63" s="55"/>
    </row>
    <row r="64" spans="1:10" ht="15.95" customHeight="1">
      <c r="A64" s="14"/>
      <c r="B64" s="52" t="s">
        <v>186</v>
      </c>
      <c r="C64" s="66" t="s">
        <v>18</v>
      </c>
      <c r="D64" s="54">
        <v>1</v>
      </c>
      <c r="E64" s="188"/>
      <c r="F64" s="55"/>
      <c r="G64" s="67"/>
    </row>
    <row r="65" spans="1:8" ht="15.95" customHeight="1">
      <c r="A65" s="14"/>
      <c r="B65" s="52" t="s">
        <v>167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60" t="s">
        <v>172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23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25</v>
      </c>
      <c r="C68" s="66" t="s">
        <v>18</v>
      </c>
      <c r="D68" s="54">
        <v>1</v>
      </c>
      <c r="E68" s="188"/>
      <c r="F68" s="55"/>
    </row>
    <row r="69" spans="1:8" ht="15.95" customHeight="1">
      <c r="A69" s="14"/>
      <c r="B69" s="52" t="s">
        <v>185</v>
      </c>
      <c r="C69" s="66" t="s">
        <v>18</v>
      </c>
      <c r="D69" s="54">
        <v>1</v>
      </c>
      <c r="E69" s="188"/>
      <c r="F69" s="55"/>
      <c r="H69" s="21"/>
    </row>
    <row r="70" spans="1:8" ht="15.95" customHeight="1">
      <c r="A70" s="14"/>
      <c r="B70" s="52" t="s">
        <v>542</v>
      </c>
      <c r="C70" s="66" t="s">
        <v>26</v>
      </c>
      <c r="D70" s="54">
        <v>36</v>
      </c>
      <c r="E70" s="188"/>
      <c r="F70" s="55"/>
    </row>
    <row r="71" spans="1:8" ht="15.95" customHeight="1">
      <c r="A71" s="14"/>
      <c r="B71" s="52" t="s">
        <v>27</v>
      </c>
      <c r="C71" s="66" t="s">
        <v>24</v>
      </c>
      <c r="D71" s="54">
        <v>37</v>
      </c>
      <c r="E71" s="188"/>
      <c r="F71" s="55"/>
    </row>
    <row r="72" spans="1:8" ht="15.95" customHeight="1">
      <c r="A72" s="14"/>
      <c r="B72" s="52" t="s">
        <v>181</v>
      </c>
      <c r="C72" s="66" t="s">
        <v>24</v>
      </c>
      <c r="D72" s="54">
        <v>12</v>
      </c>
      <c r="E72" s="188"/>
      <c r="F72" s="55"/>
    </row>
    <row r="73" spans="1:8" ht="15.95" customHeight="1">
      <c r="A73" s="14"/>
      <c r="B73" s="52" t="s">
        <v>171</v>
      </c>
      <c r="C73" s="66" t="s">
        <v>18</v>
      </c>
      <c r="D73" s="54">
        <v>1</v>
      </c>
      <c r="E73" s="188"/>
      <c r="F73" s="55"/>
    </row>
    <row r="74" spans="1:8" ht="15.95" customHeight="1">
      <c r="A74" s="14"/>
      <c r="B74" s="52"/>
      <c r="C74" s="66"/>
      <c r="D74" s="54"/>
      <c r="E74" s="188"/>
      <c r="F74" s="55"/>
    </row>
    <row r="75" spans="1:8" ht="15.95" customHeight="1">
      <c r="A75" s="1" t="str">
        <f>VLOOKUP(Tabel_Totaal_werkzaamheden230[[#This Row],[OMSCHRIJVING]],Blad1!A:C,3,FALSE)</f>
        <v>3.7</v>
      </c>
      <c r="B75" s="70" t="s">
        <v>174</v>
      </c>
      <c r="C75" s="66"/>
      <c r="D75" s="54"/>
      <c r="E75" s="188"/>
      <c r="F75" s="55"/>
    </row>
    <row r="76" spans="1:8" ht="15.95" customHeight="1">
      <c r="A76" s="14"/>
      <c r="B76" s="19" t="s">
        <v>239</v>
      </c>
      <c r="C76" s="66" t="s">
        <v>26</v>
      </c>
      <c r="D76" s="54">
        <v>21</v>
      </c>
      <c r="E76" s="188"/>
      <c r="F76" s="55"/>
    </row>
    <row r="77" spans="1:8" s="164" customFormat="1" ht="25.5">
      <c r="A77" s="16"/>
      <c r="B77" s="164" t="s">
        <v>340</v>
      </c>
      <c r="C77" s="162" t="s">
        <v>26</v>
      </c>
      <c r="D77" s="156">
        <v>9</v>
      </c>
      <c r="E77" s="193"/>
      <c r="F77" s="157"/>
      <c r="G77" s="163"/>
    </row>
    <row r="78" spans="1:8" ht="15.95" customHeight="1">
      <c r="A78" s="14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VLOOKUP(Tabel_Totaal_werkzaamheden230[[#This Row],[OMSCHRIJVING]],Blad1!A:C,3,FALSE)</f>
        <v>3.8</v>
      </c>
      <c r="B79" s="72" t="s">
        <v>231</v>
      </c>
      <c r="C79" s="73"/>
      <c r="D79" s="54"/>
      <c r="E79" s="188"/>
      <c r="F79" s="55"/>
    </row>
    <row r="80" spans="1:8" ht="15.95" customHeight="1">
      <c r="A80" s="14"/>
      <c r="B80" s="74" t="s">
        <v>28</v>
      </c>
      <c r="C80" s="73" t="s">
        <v>18</v>
      </c>
      <c r="D80" s="54">
        <v>1</v>
      </c>
      <c r="E80" s="188"/>
      <c r="F80" s="55"/>
    </row>
    <row r="81" spans="1:7" ht="15.95" customHeight="1">
      <c r="A81" s="14"/>
      <c r="B81" s="52"/>
      <c r="C81" s="66"/>
      <c r="D81" s="54"/>
      <c r="E81" s="188"/>
      <c r="F81" s="55"/>
    </row>
    <row r="82" spans="1:7" ht="15.95" customHeight="1">
      <c r="A82" s="1" t="str">
        <f>VLOOKUP(Tabel_Totaal_werkzaamheden230[[#This Row],[OMSCHRIJVING]],Blad1!A:C,3,FALSE)</f>
        <v>3.9</v>
      </c>
      <c r="B82" s="72" t="s">
        <v>184</v>
      </c>
      <c r="C82" s="73"/>
      <c r="D82" s="54"/>
      <c r="E82" s="188"/>
      <c r="F82" s="55"/>
    </row>
    <row r="83" spans="1:7" s="97" customFormat="1" ht="25.5">
      <c r="A83" s="220" t="s">
        <v>528</v>
      </c>
      <c r="B83" s="74" t="s">
        <v>333</v>
      </c>
      <c r="C83" s="73" t="s">
        <v>18</v>
      </c>
      <c r="D83" s="54">
        <v>1</v>
      </c>
      <c r="E83" s="188"/>
      <c r="F83" s="55"/>
      <c r="G83" s="96"/>
    </row>
    <row r="84" spans="1:7" ht="15.95" customHeight="1">
      <c r="A84" s="14"/>
      <c r="B84" s="52"/>
      <c r="C84" s="66"/>
      <c r="D84" s="54"/>
      <c r="E84" s="188"/>
      <c r="F84" s="55"/>
    </row>
    <row r="85" spans="1:7" ht="15.95" customHeight="1">
      <c r="A85" s="1" t="str">
        <f>VLOOKUP(Tabel_Totaal_werkzaamheden230[[#This Row],[OMSCHRIJVING]],Blad1!A:C,3,FALSE)</f>
        <v>3.10</v>
      </c>
      <c r="B85" s="15" t="s">
        <v>499</v>
      </c>
      <c r="C85" s="66"/>
      <c r="D85" s="54"/>
      <c r="E85" s="188"/>
      <c r="F85" s="55"/>
    </row>
    <row r="86" spans="1:7" ht="15.95" customHeight="1">
      <c r="A86" s="14"/>
      <c r="B86" s="52" t="s">
        <v>230</v>
      </c>
      <c r="C86" s="66" t="s">
        <v>18</v>
      </c>
      <c r="D86" s="54">
        <v>1</v>
      </c>
      <c r="E86" s="188"/>
      <c r="F86" s="55"/>
    </row>
    <row r="87" spans="1:7" ht="15.95" customHeight="1">
      <c r="A87" s="14" t="str">
        <f>IF(Tabel_Totaal_werkzaamheden230[[#This Row],[OMSCHRIJVING]]="","",_xlfn.XLOOKUP(Tabel_Totaal_werkzaamheden230[[#This Row],[OMSCHRIJVING]],Verwijzingsblad!$B$2:$B$186,Verwijzingsblad!$A$2:$A$186,""))</f>
        <v/>
      </c>
      <c r="B87" s="52"/>
      <c r="C87" s="66"/>
      <c r="D87" s="54"/>
      <c r="E87" s="188"/>
      <c r="F87" s="55"/>
    </row>
    <row r="88" spans="1:7" ht="15.95" customHeight="1">
      <c r="A88" s="205" t="s">
        <v>155</v>
      </c>
      <c r="B88" s="206"/>
      <c r="C88" s="207"/>
      <c r="D88" s="208" t="str">
        <f>B3</f>
        <v>Brug 3 Karperveen</v>
      </c>
      <c r="E88" s="209" t="str">
        <f>A3</f>
        <v>WAL-14</v>
      </c>
      <c r="F88" s="210">
        <f>SUBTOTAL(109,Tabel_Totaal_werkzaamheden230[TOTAALBEDRAG IN EURO])</f>
        <v>0</v>
      </c>
      <c r="G88" s="75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1:6" ht="15.95" customHeight="1">
      <c r="A97" s="15"/>
      <c r="B97" s="52"/>
      <c r="C97" s="52"/>
      <c r="D97" s="76"/>
      <c r="E97" s="191"/>
      <c r="F97" s="77"/>
    </row>
    <row r="98" spans="1:6" ht="15.95" customHeight="1">
      <c r="E98" s="192"/>
    </row>
    <row r="99" spans="1:6" ht="15.95" customHeight="1">
      <c r="E99" s="192"/>
    </row>
    <row r="100" spans="1:6" ht="15.95" customHeight="1">
      <c r="E100" s="192"/>
    </row>
    <row r="101" spans="1:6" ht="15.95" customHeight="1">
      <c r="E101" s="192"/>
    </row>
    <row r="102" spans="1:6" ht="15.95" customHeight="1">
      <c r="E102" s="192"/>
    </row>
    <row r="103" spans="1:6" ht="15.95" customHeight="1">
      <c r="E103" s="192"/>
    </row>
    <row r="104" spans="1:6" ht="15.95" customHeight="1">
      <c r="E104" s="192"/>
    </row>
    <row r="105" spans="1:6" ht="15.95" customHeight="1">
      <c r="E105" s="192"/>
    </row>
    <row r="106" spans="1:6" ht="15.95" customHeight="1">
      <c r="E106" s="192"/>
    </row>
    <row r="107" spans="1:6" ht="15.95" customHeight="1">
      <c r="E107" s="192"/>
    </row>
    <row r="108" spans="1:6" ht="15.95" customHeight="1">
      <c r="E108" s="192"/>
    </row>
    <row r="109" spans="1:6" ht="15.95" customHeight="1">
      <c r="E109" s="192"/>
    </row>
    <row r="110" spans="1:6" ht="15.95" customHeight="1">
      <c r="E110" s="192"/>
    </row>
    <row r="111" spans="1:6" ht="15.95" customHeight="1">
      <c r="E111" s="192"/>
    </row>
    <row r="112" spans="1:6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8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142</v>
      </c>
      <c r="B3" s="23" t="s">
        <v>143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152" t="s">
        <v>246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18.2</v>
      </c>
      <c r="E5" s="152" t="s">
        <v>263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IF(Tabel_Totaal_werkzaamheden229[[#This Row],[OMSCHRIJVING]]="","",_xlfn.XLOOKUP(Tabel_Totaal_werkzaamheden229[[#This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VLOOKUP(Tabel_Totaal_werkzaamheden229[[#This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VLOOKUP(Tabel_Totaal_werkzaamheden229[[#This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VLOOKUP(Tabel_Totaal_werkzaamheden229[[#This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VLOOKUP(Tabel_Totaal_werkzaamheden229[[#This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VLOOKUP(Tabel_Totaal_werkzaamheden229[[#This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VLOOKUP(Tabel_Totaal_werkzaamheden229[[#This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VLOOKUP(Tabel_Totaal_werkzaamheden229[[#This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VLOOKUP(Tabel_Totaal_werkzaamheden229[[#This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VLOOKUP(Tabel_Totaal_werkzaamheden229[[#This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VLOOKUP(Tabel_Totaal_werkzaamheden229[[#This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VLOOKUP(Tabel_Totaal_werkzaamheden229[[#This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VLOOKUP(Tabel_Totaal_werkzaamheden229[[#This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VLOOKUP(Tabel_Totaal_werkzaamheden229[[#This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5</v>
      </c>
      <c r="E51" s="188"/>
      <c r="F51" s="55"/>
    </row>
    <row r="52" spans="1:10" ht="15.95" customHeight="1">
      <c r="A52" s="14"/>
      <c r="B52" s="52" t="s">
        <v>237</v>
      </c>
      <c r="C52" s="66" t="s">
        <v>26</v>
      </c>
      <c r="D52" s="54">
        <v>6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VLOOKUP(Tabel_Totaal_werkzaamheden229[[#This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36</v>
      </c>
      <c r="E55" s="188"/>
      <c r="F55" s="55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VLOOKUP(Tabel_Totaal_werkzaamheden229[[#This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37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VLOOKUP(Tabel_Totaal_werkzaamheden229[[#This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4"/>
      <c r="B69" s="52" t="s">
        <v>542</v>
      </c>
      <c r="C69" s="66" t="s">
        <v>26</v>
      </c>
      <c r="D69" s="54">
        <v>36</v>
      </c>
      <c r="E69" s="188"/>
      <c r="F69" s="55"/>
    </row>
    <row r="70" spans="1:8" ht="15.95" customHeight="1">
      <c r="A70" s="14"/>
      <c r="B70" s="52" t="s">
        <v>27</v>
      </c>
      <c r="C70" s="66" t="s">
        <v>24</v>
      </c>
      <c r="D70" s="54">
        <v>37</v>
      </c>
      <c r="E70" s="188"/>
      <c r="F70" s="55"/>
    </row>
    <row r="71" spans="1:8" ht="15.95" customHeight="1">
      <c r="A71" s="14"/>
      <c r="B71" s="52" t="s">
        <v>181</v>
      </c>
      <c r="C71" s="66" t="s">
        <v>24</v>
      </c>
      <c r="D71" s="54">
        <v>12</v>
      </c>
      <c r="E71" s="188"/>
      <c r="F71" s="55"/>
    </row>
    <row r="72" spans="1:8" ht="15.95" customHeight="1">
      <c r="A72" s="14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4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VLOOKUP(Tabel_Totaal_werkzaamheden229[[#This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ht="15.95" customHeight="1">
      <c r="A75" s="14"/>
      <c r="B75" s="19" t="s">
        <v>239</v>
      </c>
      <c r="C75" s="66" t="s">
        <v>26</v>
      </c>
      <c r="D75" s="54">
        <v>5</v>
      </c>
      <c r="E75" s="188"/>
      <c r="F75" s="55"/>
    </row>
    <row r="76" spans="1:8" s="164" customFormat="1" ht="25.5">
      <c r="A76" s="16"/>
      <c r="B76" s="164" t="s">
        <v>340</v>
      </c>
      <c r="C76" s="162" t="s">
        <v>26</v>
      </c>
      <c r="D76" s="156">
        <v>6</v>
      </c>
      <c r="E76" s="193"/>
      <c r="F76" s="157"/>
      <c r="G76" s="163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VLOOKUP(Tabel_Totaal_werkzaamheden229[[#This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4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4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VLOOKUP(Tabel_Totaal_werkzaamheden229[[#This Row],[OMSCHRIJVING]],Blad1!A:C,3,FALSE)</f>
        <v>3.9</v>
      </c>
      <c r="B81" s="72" t="s">
        <v>184</v>
      </c>
      <c r="C81" s="73"/>
      <c r="D81" s="54"/>
      <c r="E81" s="188"/>
      <c r="F81" s="55"/>
    </row>
    <row r="82" spans="1:7" s="159" customFormat="1" ht="12.75">
      <c r="A82" s="220" t="s">
        <v>539</v>
      </c>
      <c r="B82" s="154" t="s">
        <v>334</v>
      </c>
      <c r="C82" s="155" t="s">
        <v>18</v>
      </c>
      <c r="D82" s="156">
        <v>1</v>
      </c>
      <c r="E82" s="193"/>
      <c r="F82" s="157"/>
      <c r="G82" s="158"/>
    </row>
    <row r="83" spans="1:7" ht="15.95" customHeight="1">
      <c r="A83" s="14"/>
      <c r="B83" s="52"/>
      <c r="C83" s="66"/>
      <c r="D83" s="54"/>
      <c r="E83" s="188"/>
      <c r="F83" s="55"/>
    </row>
    <row r="84" spans="1:7" ht="15.95" customHeight="1">
      <c r="A84" s="1" t="str">
        <f>VLOOKUP(Tabel_Totaal_werkzaamheden229[[#This Row],[OMSCHRIJVING]],Blad1!A:C,3,FALSE)</f>
        <v>3.10</v>
      </c>
      <c r="B84" s="15" t="s">
        <v>499</v>
      </c>
      <c r="C84" s="66"/>
      <c r="D84" s="54"/>
      <c r="E84" s="188"/>
      <c r="F84" s="55"/>
    </row>
    <row r="85" spans="1:7" ht="15.95" customHeight="1">
      <c r="A85" s="14"/>
      <c r="B85" s="52" t="s">
        <v>230</v>
      </c>
      <c r="C85" s="66" t="s">
        <v>18</v>
      </c>
      <c r="D85" s="54">
        <v>1</v>
      </c>
      <c r="E85" s="188"/>
      <c r="F85" s="55"/>
    </row>
    <row r="86" spans="1:7" ht="15.95" customHeight="1">
      <c r="A86" s="14" t="str">
        <f>IF(Tabel_Totaal_werkzaamheden229[[#This Row],[OMSCHRIJVING]]="","",_xlfn.XLOOKUP(Tabel_Totaal_werkzaamheden229[[#This Row],[OMSCHRIJVING]],Verwijzingsblad!$B$2:$B$186,Verwijzingsblad!$A$2:$A$186,""))</f>
        <v/>
      </c>
      <c r="B86" s="52"/>
      <c r="C86" s="66"/>
      <c r="D86" s="54"/>
      <c r="E86" s="188"/>
      <c r="F86" s="55"/>
    </row>
    <row r="87" spans="1:7" ht="15.95" customHeight="1">
      <c r="A87" s="205" t="s">
        <v>155</v>
      </c>
      <c r="B87" s="206"/>
      <c r="C87" s="207"/>
      <c r="D87" s="208" t="str">
        <f>B3</f>
        <v>Brug 4 Karperveen</v>
      </c>
      <c r="E87" s="209" t="str">
        <f>A3</f>
        <v>WAL-15</v>
      </c>
      <c r="F87" s="210">
        <f>SUBTOTAL(109,Tabel_Totaal_werkzaamheden229[TOTAALBEDRAG IN EURO])</f>
        <v>0</v>
      </c>
      <c r="G87" s="75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7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144</v>
      </c>
      <c r="B3" s="23" t="s">
        <v>145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31" t="s">
        <v>270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18.5</v>
      </c>
      <c r="E5" s="31" t="s">
        <v>281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IF(Tabel_Totaal_werkzaamheden228[[#This Row],[OMSCHRIJVING]]="","",_xlfn.XLOOKUP(Tabel_Totaal_werkzaamheden228[[#This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VLOOKUP(Tabel_Totaal_werkzaamheden228[[#This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VLOOKUP(Tabel_Totaal_werkzaamheden228[[#This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VLOOKUP(Tabel_Totaal_werkzaamheden228[[#This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6.149999999999999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VLOOKUP(Tabel_Totaal_werkzaamheden228[[#This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VLOOKUP(Tabel_Totaal_werkzaamheden228[[#This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VLOOKUP(Tabel_Totaal_werkzaamheden228[[#This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VLOOKUP(Tabel_Totaal_werkzaamheden228[[#This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VLOOKUP(Tabel_Totaal_werkzaamheden228[[#This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VLOOKUP(Tabel_Totaal_werkzaamheden228[[#This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VLOOKUP(Tabel_Totaal_werkzaamheden228[[#This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VLOOKUP(Tabel_Totaal_werkzaamheden228[[#This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VLOOKUP(Tabel_Totaal_werkzaamheden228[[#This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VLOOKUP(Tabel_Totaal_werkzaamheden228[[#This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5</v>
      </c>
      <c r="E51" s="188"/>
      <c r="F51" s="55"/>
    </row>
    <row r="52" spans="1:10" ht="15.95" customHeight="1">
      <c r="A52" s="14"/>
      <c r="B52" s="52" t="s">
        <v>237</v>
      </c>
      <c r="C52" s="66" t="s">
        <v>26</v>
      </c>
      <c r="D52" s="54">
        <v>30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VLOOKUP(Tabel_Totaal_werkzaamheden228[[#This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36</v>
      </c>
      <c r="E55" s="188"/>
      <c r="F55" s="55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VLOOKUP(Tabel_Totaal_werkzaamheden228[[#This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37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VLOOKUP(Tabel_Totaal_werkzaamheden228[[#This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4"/>
      <c r="B69" s="52" t="s">
        <v>542</v>
      </c>
      <c r="C69" s="66" t="s">
        <v>26</v>
      </c>
      <c r="D69" s="54">
        <v>36</v>
      </c>
      <c r="E69" s="188"/>
      <c r="F69" s="55"/>
    </row>
    <row r="70" spans="1:8" ht="15.95" customHeight="1">
      <c r="A70" s="14"/>
      <c r="B70" s="52" t="s">
        <v>27</v>
      </c>
      <c r="C70" s="66" t="s">
        <v>24</v>
      </c>
      <c r="D70" s="54">
        <v>37</v>
      </c>
      <c r="E70" s="188"/>
      <c r="F70" s="55"/>
    </row>
    <row r="71" spans="1:8" ht="15.95" customHeight="1">
      <c r="A71" s="14"/>
      <c r="B71" s="52" t="s">
        <v>181</v>
      </c>
      <c r="C71" s="66" t="s">
        <v>24</v>
      </c>
      <c r="D71" s="54">
        <v>12</v>
      </c>
      <c r="E71" s="188"/>
      <c r="F71" s="55"/>
    </row>
    <row r="72" spans="1:8" ht="15.95" customHeight="1">
      <c r="A72" s="14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4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VLOOKUP(Tabel_Totaal_werkzaamheden228[[#This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ht="15.95" customHeight="1">
      <c r="A75" s="14"/>
      <c r="B75" s="19" t="s">
        <v>239</v>
      </c>
      <c r="C75" s="66" t="s">
        <v>26</v>
      </c>
      <c r="D75" s="54">
        <v>5</v>
      </c>
      <c r="E75" s="188"/>
      <c r="F75" s="55"/>
    </row>
    <row r="76" spans="1:8" s="164" customFormat="1" ht="25.5">
      <c r="A76" s="16"/>
      <c r="B76" s="164" t="s">
        <v>340</v>
      </c>
      <c r="C76" s="162" t="s">
        <v>26</v>
      </c>
      <c r="D76" s="156">
        <v>30</v>
      </c>
      <c r="E76" s="193"/>
      <c r="F76" s="157"/>
      <c r="G76" s="163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VLOOKUP(Tabel_Totaal_werkzaamheden228[[#This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4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4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VLOOKUP(Tabel_Totaal_werkzaamheden228[[#This Row],[OMSCHRIJVING]],Blad1!A:C,3,FALSE)</f>
        <v>3.9</v>
      </c>
      <c r="B81" s="72" t="s">
        <v>184</v>
      </c>
      <c r="C81" s="73"/>
      <c r="D81" s="54"/>
      <c r="E81" s="188"/>
      <c r="F81" s="55"/>
    </row>
    <row r="82" spans="1:7" s="159" customFormat="1" ht="25.5">
      <c r="A82" s="220" t="s">
        <v>528</v>
      </c>
      <c r="B82" s="154" t="s">
        <v>352</v>
      </c>
      <c r="C82" s="155" t="s">
        <v>18</v>
      </c>
      <c r="D82" s="156">
        <v>1</v>
      </c>
      <c r="E82" s="193"/>
      <c r="F82" s="157"/>
      <c r="G82" s="158"/>
    </row>
    <row r="83" spans="1:7" ht="15.95" customHeight="1">
      <c r="A83" s="14"/>
      <c r="B83" s="52"/>
      <c r="C83" s="66"/>
      <c r="D83" s="54"/>
      <c r="E83" s="188"/>
      <c r="F83" s="55"/>
    </row>
    <row r="84" spans="1:7" ht="15.95" customHeight="1">
      <c r="A84" s="1" t="str">
        <f>VLOOKUP(Tabel_Totaal_werkzaamheden228[[#This Row],[OMSCHRIJVING]],Blad1!A:C,3,FALSE)</f>
        <v>3.10</v>
      </c>
      <c r="B84" s="15" t="s">
        <v>499</v>
      </c>
      <c r="C84" s="66"/>
      <c r="D84" s="54"/>
      <c r="E84" s="188"/>
      <c r="F84" s="55"/>
    </row>
    <row r="85" spans="1:7" ht="15.95" customHeight="1">
      <c r="A85" s="14"/>
      <c r="B85" s="52" t="s">
        <v>230</v>
      </c>
      <c r="C85" s="66" t="s">
        <v>18</v>
      </c>
      <c r="D85" s="54">
        <v>1</v>
      </c>
      <c r="E85" s="188"/>
      <c r="F85" s="55"/>
    </row>
    <row r="86" spans="1:7" ht="15.95" customHeight="1">
      <c r="A86" s="14" t="str">
        <f>IF(Tabel_Totaal_werkzaamheden228[[#This Row],[OMSCHRIJVING]]="","",_xlfn.XLOOKUP(Tabel_Totaal_werkzaamheden228[[#This Row],[OMSCHRIJVING]],Verwijzingsblad!$B$2:$B$186,Verwijzingsblad!$A$2:$A$186,""))</f>
        <v/>
      </c>
      <c r="B86" s="52"/>
      <c r="C86" s="66"/>
      <c r="D86" s="54"/>
      <c r="E86" s="188"/>
      <c r="F86" s="55"/>
    </row>
    <row r="87" spans="1:7" ht="15.95" customHeight="1">
      <c r="A87" s="205" t="s">
        <v>155</v>
      </c>
      <c r="B87" s="206"/>
      <c r="C87" s="207"/>
      <c r="D87" s="208" t="str">
        <f>B3</f>
        <v>Brug Dijkgraaflaan</v>
      </c>
      <c r="E87" s="209" t="str">
        <f>A3</f>
        <v>WAL-16</v>
      </c>
      <c r="F87" s="210">
        <f>SUBTOTAL(109,Tabel_Totaal_werkzaamheden228[TOTAALBEDRAG IN EURO])</f>
        <v>0</v>
      </c>
      <c r="G87" s="75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>
    <pageSetUpPr fitToPage="1"/>
  </sheetPr>
  <dimension ref="A1:J172"/>
  <sheetViews>
    <sheetView view="pageBreakPreview" topLeftCell="A4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146</v>
      </c>
      <c r="B3" s="23" t="s">
        <v>147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152" t="s">
        <v>246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18.2</v>
      </c>
      <c r="E5" s="152" t="s">
        <v>282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IF(Tabel_Totaal_werkzaamheden227[[#This Row],[OMSCHRIJVING]]="","",_xlfn.XLOOKUP(Tabel_Totaal_werkzaamheden227[[#This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VLOOKUP(Tabel_Totaal_werkzaamheden227[[#This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VLOOKUP(Tabel_Totaal_werkzaamheden227[[#This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VLOOKUP(Tabel_Totaal_werkzaamheden227[[#This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VLOOKUP(Tabel_Totaal_werkzaamheden227[[#This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VLOOKUP(Tabel_Totaal_werkzaamheden227[[#This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VLOOKUP(Tabel_Totaal_werkzaamheden227[[#This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VLOOKUP(Tabel_Totaal_werkzaamheden227[[#This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VLOOKUP(Tabel_Totaal_werkzaamheden227[[#This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VLOOKUP(Tabel_Totaal_werkzaamheden227[[#This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VLOOKUP(Tabel_Totaal_werkzaamheden227[[#This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VLOOKUP(Tabel_Totaal_werkzaamheden227[[#This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VLOOKUP(Tabel_Totaal_werkzaamheden227[[#This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VLOOKUP(Tabel_Totaal_werkzaamheden227[[#This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12</v>
      </c>
      <c r="E51" s="188"/>
      <c r="F51" s="55"/>
    </row>
    <row r="52" spans="1:10" ht="15.95" customHeight="1">
      <c r="A52" s="14"/>
      <c r="B52" s="52" t="s">
        <v>237</v>
      </c>
      <c r="C52" s="66" t="s">
        <v>26</v>
      </c>
      <c r="D52" s="54">
        <v>15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VLOOKUP(Tabel_Totaal_werkzaamheden227[[#This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36</v>
      </c>
      <c r="E55" s="188"/>
      <c r="F55" s="55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VLOOKUP(Tabel_Totaal_werkzaamheden227[[#This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37</v>
      </c>
      <c r="E60" s="188"/>
      <c r="F60" s="55"/>
      <c r="I60" s="71"/>
      <c r="J60" s="71"/>
    </row>
    <row r="61" spans="1:10" ht="15.95" customHeight="1">
      <c r="A61" s="14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VLOOKUP(Tabel_Totaal_werkzaamheden227[[#This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7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4"/>
      <c r="B69" s="52" t="s">
        <v>542</v>
      </c>
      <c r="C69" s="66" t="s">
        <v>26</v>
      </c>
      <c r="D69" s="54">
        <v>36</v>
      </c>
      <c r="E69" s="188"/>
      <c r="F69" s="55"/>
    </row>
    <row r="70" spans="1:8" ht="15.95" customHeight="1">
      <c r="A70" s="14"/>
      <c r="B70" s="52" t="s">
        <v>27</v>
      </c>
      <c r="C70" s="66" t="s">
        <v>24</v>
      </c>
      <c r="D70" s="54">
        <v>37</v>
      </c>
      <c r="E70" s="188"/>
      <c r="F70" s="55"/>
    </row>
    <row r="71" spans="1:8" ht="15.95" customHeight="1">
      <c r="A71" s="14"/>
      <c r="B71" s="52" t="s">
        <v>181</v>
      </c>
      <c r="C71" s="66" t="s">
        <v>24</v>
      </c>
      <c r="D71" s="54">
        <v>12</v>
      </c>
      <c r="E71" s="188"/>
      <c r="F71" s="55"/>
    </row>
    <row r="72" spans="1:8" ht="15.95" customHeight="1">
      <c r="A72" s="14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4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VLOOKUP(Tabel_Totaal_werkzaamheden227[[#This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ht="15.95" customHeight="1">
      <c r="A75" s="14"/>
      <c r="B75" s="19" t="s">
        <v>239</v>
      </c>
      <c r="C75" s="66" t="s">
        <v>26</v>
      </c>
      <c r="D75" s="54">
        <v>12</v>
      </c>
      <c r="E75" s="188"/>
      <c r="F75" s="55"/>
    </row>
    <row r="76" spans="1:8" s="164" customFormat="1" ht="25.5">
      <c r="A76" s="16"/>
      <c r="B76" s="164" t="s">
        <v>340</v>
      </c>
      <c r="C76" s="162" t="s">
        <v>26</v>
      </c>
      <c r="D76" s="156">
        <v>15</v>
      </c>
      <c r="E76" s="193"/>
      <c r="F76" s="157"/>
      <c r="G76" s="163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VLOOKUP(Tabel_Totaal_werkzaamheden227[[#This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4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4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VLOOKUP(Tabel_Totaal_werkzaamheden227[[#This Row],[OMSCHRIJVING]],Blad1!A:C,3,FALSE)</f>
        <v>3.9</v>
      </c>
      <c r="B81" s="72" t="s">
        <v>184</v>
      </c>
      <c r="C81" s="73"/>
      <c r="D81" s="54"/>
      <c r="E81" s="188"/>
      <c r="F81" s="55"/>
    </row>
    <row r="82" spans="1:7" s="97" customFormat="1" ht="25.5">
      <c r="A82" s="220" t="s">
        <v>528</v>
      </c>
      <c r="B82" s="74" t="s">
        <v>353</v>
      </c>
      <c r="C82" s="73" t="s">
        <v>18</v>
      </c>
      <c r="D82" s="54">
        <v>1</v>
      </c>
      <c r="E82" s="188"/>
      <c r="F82" s="55"/>
      <c r="G82" s="96"/>
    </row>
    <row r="83" spans="1:7" ht="15.95" customHeight="1">
      <c r="A83" s="14"/>
      <c r="B83" s="52"/>
      <c r="C83" s="66"/>
      <c r="D83" s="54"/>
      <c r="E83" s="188"/>
      <c r="F83" s="55"/>
    </row>
    <row r="84" spans="1:7" ht="15.95" customHeight="1">
      <c r="A84" s="1" t="str">
        <f>VLOOKUP(Tabel_Totaal_werkzaamheden227[[#This Row],[OMSCHRIJVING]],Blad1!A:C,3,FALSE)</f>
        <v>3.10</v>
      </c>
      <c r="B84" s="15" t="s">
        <v>499</v>
      </c>
      <c r="C84" s="66"/>
      <c r="D84" s="54"/>
      <c r="E84" s="188"/>
      <c r="F84" s="55"/>
    </row>
    <row r="85" spans="1:7" ht="15.95" customHeight="1">
      <c r="A85" s="14"/>
      <c r="B85" s="52" t="s">
        <v>230</v>
      </c>
      <c r="C85" s="66" t="s">
        <v>18</v>
      </c>
      <c r="D85" s="54">
        <v>1</v>
      </c>
      <c r="E85" s="188"/>
      <c r="F85" s="55"/>
    </row>
    <row r="86" spans="1:7" ht="15.95" customHeight="1">
      <c r="A86" s="14" t="str">
        <f>IF(Tabel_Totaal_werkzaamheden227[[#This Row],[OMSCHRIJVING]]="","",_xlfn.XLOOKUP(Tabel_Totaal_werkzaamheden227[[#This Row],[OMSCHRIJVING]],Verwijzingsblad!$B$2:$B$186,Verwijzingsblad!$A$2:$A$186,""))</f>
        <v/>
      </c>
      <c r="B86" s="52"/>
      <c r="C86" s="66"/>
      <c r="D86" s="54"/>
      <c r="E86" s="188"/>
      <c r="F86" s="55"/>
    </row>
    <row r="87" spans="1:7" ht="15.95" customHeight="1">
      <c r="A87" s="205" t="s">
        <v>155</v>
      </c>
      <c r="B87" s="206"/>
      <c r="C87" s="207"/>
      <c r="D87" s="208" t="str">
        <f>B3</f>
        <v>Brug 2 Libelleveen</v>
      </c>
      <c r="E87" s="209" t="str">
        <f>A3</f>
        <v>WAL-18</v>
      </c>
      <c r="F87" s="210">
        <f>SUBTOTAL(109,Tabel_Totaal_werkzaamheden227[TOTAALBEDRAG IN EURO])</f>
        <v>0</v>
      </c>
      <c r="G87" s="75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A95" s="15"/>
      <c r="B95" s="52"/>
      <c r="C95" s="52"/>
      <c r="D95" s="76"/>
      <c r="E95" s="191"/>
      <c r="F95" s="77"/>
    </row>
    <row r="96" spans="1:7" ht="15.95" customHeight="1">
      <c r="A96" s="15"/>
      <c r="B96" s="52"/>
      <c r="C96" s="52"/>
      <c r="D96" s="76"/>
      <c r="E96" s="191"/>
      <c r="F96" s="77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5">
    <pageSetUpPr fitToPage="1"/>
  </sheetPr>
  <dimension ref="A1:J172"/>
  <sheetViews>
    <sheetView view="pageBreakPreview" topLeftCell="A4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148</v>
      </c>
      <c r="B3" s="23" t="s">
        <v>149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1.95</v>
      </c>
      <c r="E4" s="152" t="s">
        <v>246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18.2</v>
      </c>
      <c r="E5" s="152" t="s">
        <v>282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IF(Tabel_Totaal_werkzaamheden226[[#This Row],[OMSCHRIJVING]]="","",_xlfn.XLOOKUP(Tabel_Totaal_werkzaamheden226[[#This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VLOOKUP(Tabel_Totaal_werkzaamheden226[[#This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2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2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2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VLOOKUP(Tabel_Totaal_werkzaamheden226[[#This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2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2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VLOOKUP(Tabel_Totaal_werkzaamheden226[[#This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2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3"/>
      <c r="B18" s="60"/>
      <c r="C18" s="53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VLOOKUP(Tabel_Totaal_werkzaamheden226[[#This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2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2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VLOOKUP(Tabel_Totaal_werkzaamheden226[[#This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4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2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VLOOKUP(Tabel_Totaal_werkzaamheden226[[#This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2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4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4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VLOOKUP(Tabel_Totaal_werkzaamheden226[[#This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4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s="21" customFormat="1" ht="15.95" customHeight="1">
      <c r="A31" s="14"/>
      <c r="B31" s="60"/>
      <c r="C31" s="66"/>
      <c r="D31" s="54"/>
      <c r="E31" s="188"/>
      <c r="F31" s="55"/>
      <c r="H31" s="19"/>
      <c r="I31" s="19"/>
      <c r="J31" s="19"/>
    </row>
    <row r="32" spans="1:10" ht="15.95" customHeight="1">
      <c r="A32" s="1" t="str">
        <f>VLOOKUP(Tabel_Totaal_werkzaamheden226[[#This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4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4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4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VLOOKUP(Tabel_Totaal_werkzaamheden226[[#This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4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4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VLOOKUP(Tabel_Totaal_werkzaamheden226[[#This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4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4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VLOOKUP(Tabel_Totaal_werkzaamheden226[[#This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4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4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VLOOKUP(Tabel_Totaal_werkzaamheden226[[#This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4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4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4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VLOOKUP(Tabel_Totaal_werkzaamheden226[[#This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4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4"/>
      <c r="B51" s="52" t="s">
        <v>209</v>
      </c>
      <c r="C51" s="66" t="s">
        <v>26</v>
      </c>
      <c r="D51" s="54">
        <v>6</v>
      </c>
      <c r="E51" s="188"/>
      <c r="F51" s="55"/>
    </row>
    <row r="52" spans="1:10" ht="15.95" customHeight="1">
      <c r="A52" s="14"/>
      <c r="B52" s="52" t="s">
        <v>237</v>
      </c>
      <c r="C52" s="66" t="s">
        <v>26</v>
      </c>
      <c r="D52" s="54">
        <v>6</v>
      </c>
      <c r="E52" s="188"/>
      <c r="F52" s="55"/>
      <c r="I52" s="21"/>
    </row>
    <row r="53" spans="1:10" ht="15.95" customHeight="1">
      <c r="A53" s="14"/>
      <c r="B53" s="52"/>
      <c r="C53" s="66"/>
      <c r="D53" s="54"/>
      <c r="E53" s="188"/>
      <c r="F53" s="55"/>
    </row>
    <row r="54" spans="1:10" ht="15.95" customHeight="1">
      <c r="A54" s="1" t="str">
        <f>VLOOKUP(Tabel_Totaal_werkzaamheden226[[#This Row],[OMSCHRIJVING]],Blad1!A:C,3,FALSE)</f>
        <v>3.4</v>
      </c>
      <c r="B54" s="70" t="s">
        <v>543</v>
      </c>
      <c r="C54" s="66"/>
      <c r="D54" s="54"/>
      <c r="E54" s="188"/>
      <c r="F54" s="55"/>
    </row>
    <row r="55" spans="1:10" ht="15.95" customHeight="1">
      <c r="A55" s="14"/>
      <c r="B55" s="60" t="s">
        <v>545</v>
      </c>
      <c r="C55" s="66" t="s">
        <v>26</v>
      </c>
      <c r="D55" s="54">
        <v>36</v>
      </c>
      <c r="E55" s="188"/>
      <c r="F55" s="55"/>
    </row>
    <row r="56" spans="1:10" ht="15.95" customHeight="1">
      <c r="A56" s="14"/>
      <c r="B56" s="52"/>
      <c r="C56" s="66"/>
      <c r="D56" s="54"/>
      <c r="E56" s="188"/>
      <c r="F56" s="55"/>
    </row>
    <row r="57" spans="1:10" ht="15.95" customHeight="1">
      <c r="A57" s="1" t="str">
        <f>VLOOKUP(Tabel_Totaal_werkzaamheden226[[#This Row],[OMSCHRIJVING]],Blad1!A:C,3,FALSE)</f>
        <v>3.5</v>
      </c>
      <c r="B57" s="70" t="s">
        <v>169</v>
      </c>
      <c r="C57" s="66"/>
      <c r="D57" s="54"/>
      <c r="E57" s="188"/>
      <c r="F57" s="55"/>
    </row>
    <row r="58" spans="1:10" ht="15.95" customHeight="1">
      <c r="A58" s="14"/>
      <c r="B58" s="19" t="s">
        <v>179</v>
      </c>
      <c r="C58" s="66" t="s">
        <v>18</v>
      </c>
      <c r="D58" s="54">
        <v>1</v>
      </c>
      <c r="E58" s="188"/>
      <c r="F58" s="55"/>
    </row>
    <row r="59" spans="1:10" ht="15.95" customHeight="1">
      <c r="A59" s="14"/>
      <c r="B59" s="19" t="s">
        <v>170</v>
      </c>
      <c r="C59" s="66" t="s">
        <v>18</v>
      </c>
      <c r="D59" s="54">
        <v>1</v>
      </c>
      <c r="E59" s="188"/>
      <c r="F59" s="55"/>
    </row>
    <row r="60" spans="1:10" ht="15.95" customHeight="1">
      <c r="A60" s="14"/>
      <c r="B60" s="19" t="s">
        <v>178</v>
      </c>
      <c r="C60" s="66" t="s">
        <v>24</v>
      </c>
      <c r="D60" s="54">
        <v>37</v>
      </c>
      <c r="E60" s="188"/>
      <c r="F60" s="55"/>
      <c r="I60" s="71"/>
      <c r="J60" s="71"/>
    </row>
    <row r="61" spans="1:10" ht="15.95" customHeight="1">
      <c r="A61" s="1"/>
      <c r="B61" s="52"/>
      <c r="C61" s="66"/>
      <c r="D61" s="54"/>
      <c r="E61" s="188"/>
      <c r="F61" s="55"/>
    </row>
    <row r="62" spans="1:10" ht="15.95" customHeight="1">
      <c r="A62" s="1" t="str">
        <f>VLOOKUP(Tabel_Totaal_werkzaamheden226[[#This Row],[OMSCHRIJVING]],Blad1!A:C,3,FALSE)</f>
        <v>3.6</v>
      </c>
      <c r="B62" s="15" t="s">
        <v>472</v>
      </c>
      <c r="C62" s="66"/>
      <c r="D62" s="54"/>
      <c r="E62" s="188"/>
      <c r="F62" s="55"/>
    </row>
    <row r="63" spans="1:10" ht="15.95" customHeight="1">
      <c r="A63" s="14"/>
      <c r="B63" s="52" t="s">
        <v>186</v>
      </c>
      <c r="C63" s="66" t="s">
        <v>18</v>
      </c>
      <c r="D63" s="54">
        <v>1</v>
      </c>
      <c r="E63" s="188"/>
      <c r="F63" s="55"/>
      <c r="G63" s="67"/>
    </row>
    <row r="64" spans="1:10" ht="15.95" customHeight="1">
      <c r="A64" s="14"/>
      <c r="B64" s="52" t="s">
        <v>167</v>
      </c>
      <c r="C64" s="66" t="s">
        <v>18</v>
      </c>
      <c r="D64" s="54">
        <v>1</v>
      </c>
      <c r="E64" s="188"/>
      <c r="F64" s="55"/>
    </row>
    <row r="65" spans="1:8" ht="15.95" customHeight="1">
      <c r="A65" s="14"/>
      <c r="B65" s="60" t="s">
        <v>172</v>
      </c>
      <c r="C65" s="66" t="s">
        <v>18</v>
      </c>
      <c r="D65" s="54">
        <v>1</v>
      </c>
      <c r="E65" s="188"/>
      <c r="F65" s="55"/>
    </row>
    <row r="66" spans="1:8" ht="15.95" customHeight="1">
      <c r="A66" s="14"/>
      <c r="B66" s="52" t="s">
        <v>23</v>
      </c>
      <c r="C66" s="66" t="s">
        <v>18</v>
      </c>
      <c r="D66" s="54">
        <v>1</v>
      </c>
      <c r="E66" s="188"/>
      <c r="F66" s="55"/>
    </row>
    <row r="67" spans="1:8" ht="15.95" customHeight="1">
      <c r="A67" s="14"/>
      <c r="B67" s="52" t="s">
        <v>25</v>
      </c>
      <c r="C67" s="66" t="s">
        <v>18</v>
      </c>
      <c r="D67" s="54">
        <v>1</v>
      </c>
      <c r="E67" s="188"/>
      <c r="F67" s="55"/>
    </row>
    <row r="68" spans="1:8" ht="15.95" customHeight="1">
      <c r="A68" s="14"/>
      <c r="B68" s="52" t="s">
        <v>185</v>
      </c>
      <c r="C68" s="66" t="s">
        <v>18</v>
      </c>
      <c r="D68" s="54">
        <v>1</v>
      </c>
      <c r="E68" s="188"/>
      <c r="F68" s="55"/>
      <c r="H68" s="21"/>
    </row>
    <row r="69" spans="1:8" ht="15.95" customHeight="1">
      <c r="A69" s="14"/>
      <c r="B69" s="52" t="s">
        <v>542</v>
      </c>
      <c r="C69" s="66" t="s">
        <v>26</v>
      </c>
      <c r="D69" s="54">
        <v>36</v>
      </c>
      <c r="E69" s="188"/>
      <c r="F69" s="55"/>
    </row>
    <row r="70" spans="1:8" ht="15.95" customHeight="1">
      <c r="A70" s="14"/>
      <c r="B70" s="52" t="s">
        <v>27</v>
      </c>
      <c r="C70" s="66" t="s">
        <v>24</v>
      </c>
      <c r="D70" s="54">
        <v>37</v>
      </c>
      <c r="E70" s="188"/>
      <c r="F70" s="55"/>
    </row>
    <row r="71" spans="1:8" ht="15.95" customHeight="1">
      <c r="A71" s="14"/>
      <c r="B71" s="52" t="s">
        <v>181</v>
      </c>
      <c r="C71" s="66" t="s">
        <v>24</v>
      </c>
      <c r="D71" s="54">
        <v>12</v>
      </c>
      <c r="E71" s="188"/>
      <c r="F71" s="55"/>
    </row>
    <row r="72" spans="1:8" ht="15.95" customHeight="1">
      <c r="A72" s="14"/>
      <c r="B72" s="52" t="s">
        <v>171</v>
      </c>
      <c r="C72" s="66" t="s">
        <v>18</v>
      </c>
      <c r="D72" s="54">
        <v>1</v>
      </c>
      <c r="E72" s="188"/>
      <c r="F72" s="55"/>
    </row>
    <row r="73" spans="1:8" ht="15.95" customHeight="1">
      <c r="A73" s="14"/>
      <c r="B73" s="52"/>
      <c r="C73" s="66"/>
      <c r="D73" s="54"/>
      <c r="E73" s="188"/>
      <c r="F73" s="55"/>
    </row>
    <row r="74" spans="1:8" ht="15.95" customHeight="1">
      <c r="A74" s="1" t="str">
        <f>VLOOKUP(Tabel_Totaal_werkzaamheden226[[#This Row],[OMSCHRIJVING]],Blad1!A:C,3,FALSE)</f>
        <v>3.7</v>
      </c>
      <c r="B74" s="70" t="s">
        <v>174</v>
      </c>
      <c r="C74" s="66"/>
      <c r="D74" s="54"/>
      <c r="E74" s="188"/>
      <c r="F74" s="55"/>
    </row>
    <row r="75" spans="1:8" ht="15.95" customHeight="1">
      <c r="A75" s="14"/>
      <c r="B75" s="19" t="s">
        <v>239</v>
      </c>
      <c r="C75" s="66" t="s">
        <v>26</v>
      </c>
      <c r="D75" s="54">
        <v>6</v>
      </c>
      <c r="E75" s="188"/>
      <c r="F75" s="55"/>
    </row>
    <row r="76" spans="1:8" s="164" customFormat="1" ht="25.5">
      <c r="A76" s="16"/>
      <c r="B76" s="164" t="s">
        <v>340</v>
      </c>
      <c r="C76" s="162" t="s">
        <v>26</v>
      </c>
      <c r="D76" s="156">
        <v>6</v>
      </c>
      <c r="E76" s="193"/>
      <c r="F76" s="157"/>
      <c r="G76" s="163"/>
    </row>
    <row r="77" spans="1:8" ht="15.95" customHeight="1">
      <c r="A77" s="14"/>
      <c r="B77" s="52"/>
      <c r="C77" s="66"/>
      <c r="D77" s="54"/>
      <c r="E77" s="188"/>
      <c r="F77" s="55"/>
    </row>
    <row r="78" spans="1:8" ht="15.95" customHeight="1">
      <c r="A78" s="1" t="str">
        <f>VLOOKUP(Tabel_Totaal_werkzaamheden226[[#This Row],[OMSCHRIJVING]],Blad1!A:C,3,FALSE)</f>
        <v>3.8</v>
      </c>
      <c r="B78" s="72" t="s">
        <v>231</v>
      </c>
      <c r="C78" s="73"/>
      <c r="D78" s="54"/>
      <c r="E78" s="188"/>
      <c r="F78" s="55"/>
    </row>
    <row r="79" spans="1:8" ht="15.95" customHeight="1">
      <c r="A79" s="14"/>
      <c r="B79" s="74" t="s">
        <v>28</v>
      </c>
      <c r="C79" s="73" t="s">
        <v>18</v>
      </c>
      <c r="D79" s="54">
        <v>1</v>
      </c>
      <c r="E79" s="188"/>
      <c r="F79" s="55"/>
    </row>
    <row r="80" spans="1:8" ht="15.95" customHeight="1">
      <c r="A80" s="14"/>
      <c r="B80" s="52"/>
      <c r="C80" s="66"/>
      <c r="D80" s="54"/>
      <c r="E80" s="188"/>
      <c r="F80" s="55"/>
    </row>
    <row r="81" spans="1:7" ht="15.95" customHeight="1">
      <c r="A81" s="1" t="str">
        <f>VLOOKUP(Tabel_Totaal_werkzaamheden226[[#This Row],[OMSCHRIJVING]],Blad1!A:C,3,FALSE)</f>
        <v>3.10</v>
      </c>
      <c r="B81" s="15" t="s">
        <v>499</v>
      </c>
      <c r="C81" s="66"/>
      <c r="D81" s="54"/>
      <c r="E81" s="188"/>
      <c r="F81" s="55"/>
    </row>
    <row r="82" spans="1:7" ht="15.95" customHeight="1">
      <c r="A82" s="14"/>
      <c r="B82" s="52" t="s">
        <v>230</v>
      </c>
      <c r="C82" s="66" t="s">
        <v>18</v>
      </c>
      <c r="D82" s="54">
        <v>1</v>
      </c>
      <c r="E82" s="188"/>
      <c r="F82" s="55"/>
    </row>
    <row r="83" spans="1:7" ht="15.95" customHeight="1">
      <c r="A83" s="14" t="str">
        <f>IF(Tabel_Totaal_werkzaamheden226[[#This Row],[OMSCHRIJVING]]="","",_xlfn.XLOOKUP(Tabel_Totaal_werkzaamheden226[[#This Row],[OMSCHRIJVING]],Verwijzingsblad!$B$2:$B$186,Verwijzingsblad!$A$2:$A$186,""))</f>
        <v/>
      </c>
      <c r="B83" s="52"/>
      <c r="C83" s="66"/>
      <c r="D83" s="54"/>
      <c r="E83" s="188"/>
      <c r="F83" s="55"/>
    </row>
    <row r="84" spans="1:7" ht="15.95" customHeight="1">
      <c r="A84" s="205" t="s">
        <v>155</v>
      </c>
      <c r="B84" s="206"/>
      <c r="C84" s="207"/>
      <c r="D84" s="208" t="str">
        <f>B3</f>
        <v>Brug 2 Krekelveen</v>
      </c>
      <c r="E84" s="209" t="str">
        <f>A3</f>
        <v>WAL-19</v>
      </c>
      <c r="F84" s="210">
        <f>SUBTOTAL(109,Tabel_Totaal_werkzaamheden226[TOTAALBEDRAG IN EURO])</f>
        <v>0</v>
      </c>
      <c r="G84" s="75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J109"/>
  <sheetViews>
    <sheetView view="pageBreakPreview" zoomScale="85" zoomScaleNormal="85" zoomScaleSheetLayoutView="85" zoomScalePageLayoutView="130" workbookViewId="0">
      <selection activeCell="F8" sqref="F8"/>
    </sheetView>
  </sheetViews>
  <sheetFormatPr defaultColWidth="9.140625" defaultRowHeight="15.95" customHeight="1"/>
  <cols>
    <col min="1" max="1" width="8.7109375" style="19" customWidth="1"/>
    <col min="2" max="2" width="50.7109375" style="19" customWidth="1"/>
    <col min="3" max="3" width="42.7109375" style="19" customWidth="1"/>
    <col min="4" max="5" width="11.7109375" style="19" customWidth="1"/>
    <col min="6" max="6" width="16.7109375" style="19" customWidth="1"/>
    <col min="7" max="7" width="9" style="21" customWidth="1"/>
    <col min="8" max="8" width="9" style="19" customWidth="1"/>
    <col min="9" max="16384" width="9.140625" style="19"/>
  </cols>
  <sheetData>
    <row r="1" spans="1:7" ht="15.95" customHeight="1">
      <c r="A1" s="79" t="s">
        <v>41</v>
      </c>
      <c r="C1" s="80"/>
      <c r="D1" s="80"/>
      <c r="E1" s="80"/>
      <c r="F1" s="80"/>
    </row>
    <row r="2" spans="1:7" ht="15.95" customHeight="1" thickBot="1">
      <c r="B2" s="81"/>
      <c r="C2" s="82"/>
      <c r="D2" s="82"/>
      <c r="E2" s="82"/>
      <c r="F2" s="82"/>
    </row>
    <row r="3" spans="1:7" ht="15.95" customHeight="1" thickBot="1">
      <c r="A3" s="282" t="s">
        <v>0</v>
      </c>
      <c r="B3" s="283"/>
      <c r="C3" s="283"/>
      <c r="D3" s="283"/>
      <c r="E3" s="283"/>
      <c r="F3" s="284"/>
    </row>
    <row r="4" spans="1:7" ht="36.75" customHeight="1" thickBot="1">
      <c r="A4" s="35" t="s">
        <v>165</v>
      </c>
      <c r="B4" s="83" t="s">
        <v>1</v>
      </c>
      <c r="C4" s="84" t="s">
        <v>153</v>
      </c>
      <c r="D4" s="84" t="s">
        <v>204</v>
      </c>
      <c r="E4" s="84" t="s">
        <v>205</v>
      </c>
      <c r="F4" s="85" t="s">
        <v>3</v>
      </c>
    </row>
    <row r="5" spans="1:7" ht="15.95" customHeight="1">
      <c r="A5" s="86" t="str">
        <f>IF(Tabel61[[#This Row],[OMSCHRIJVING]]="","",_xlfn.XLOOKUP(Tabel61[[#This Row],[OMSCHRIJVING]],Verwijzingsblad!$B$2:$B$186,Verwijzingsblad!$A$2:$A$186,""))</f>
        <v/>
      </c>
      <c r="B5" s="87"/>
      <c r="C5" s="87"/>
      <c r="D5" s="87"/>
      <c r="E5" s="88"/>
      <c r="F5" s="203"/>
    </row>
    <row r="6" spans="1:7" ht="25.5">
      <c r="A6" s="3"/>
      <c r="B6" s="89" t="s">
        <v>183</v>
      </c>
      <c r="C6" s="90"/>
      <c r="D6" s="90"/>
      <c r="E6" s="91"/>
      <c r="F6" s="203"/>
    </row>
    <row r="7" spans="1:7" ht="15.95" customHeight="1">
      <c r="A7" s="3" t="str">
        <f>IF(Tabel61[[#This Row],[OMSCHRIJVING]]="","",_xlfn.XLOOKUP(Tabel61[[#This Row],[OMSCHRIJVING]],Verwijzingsblad!$B$2:$B$186,Verwijzingsblad!$A$2:$A$186,""))</f>
        <v/>
      </c>
      <c r="B7" s="92"/>
      <c r="C7" s="90"/>
      <c r="D7" s="90"/>
      <c r="E7" s="91"/>
      <c r="F7" s="203"/>
    </row>
    <row r="8" spans="1:7" s="97" customFormat="1" ht="15.95" customHeight="1">
      <c r="A8" s="246" t="str">
        <f>VLOOKUP(Tabel61[[#This Row],[OMSCHRIJVING]],Blad1!A:C,3,FALSE)</f>
        <v>2.4.7</v>
      </c>
      <c r="B8" s="247" t="s">
        <v>373</v>
      </c>
      <c r="C8" s="93"/>
      <c r="D8" s="94"/>
      <c r="E8" s="95"/>
      <c r="F8" s="245"/>
      <c r="G8" s="96"/>
    </row>
    <row r="9" spans="1:7" ht="15.95" customHeight="1">
      <c r="A9" s="246" t="str">
        <f>VLOOKUP(Tabel61[[#This Row],[OMSCHRIJVING]],Blad1!A:C,3,FALSE)</f>
        <v>2.4.8</v>
      </c>
      <c r="B9" s="244" t="s">
        <v>30</v>
      </c>
      <c r="C9" s="93"/>
      <c r="D9" s="98"/>
      <c r="E9" s="99"/>
      <c r="F9" s="245"/>
    </row>
    <row r="10" spans="1:7" ht="15.95" customHeight="1">
      <c r="A10" s="246" t="str">
        <f>VLOOKUP(Tabel61[[#This Row],[OMSCHRIJVING]],Blad1!A:C,3,FALSE)</f>
        <v>2.4.8</v>
      </c>
      <c r="B10" s="244" t="s">
        <v>31</v>
      </c>
      <c r="C10" s="93"/>
      <c r="D10" s="98"/>
      <c r="E10" s="99"/>
      <c r="F10" s="245"/>
    </row>
    <row r="11" spans="1:7" ht="15.95" customHeight="1">
      <c r="A11" s="246" t="str">
        <f>VLOOKUP(Tabel61[[#This Row],[OMSCHRIJVING]],Blad1!A:C,3,FALSE)</f>
        <v>2.4.8</v>
      </c>
      <c r="B11" s="244" t="s">
        <v>32</v>
      </c>
      <c r="C11" s="93"/>
      <c r="D11" s="98"/>
      <c r="E11" s="99"/>
      <c r="F11" s="245"/>
    </row>
    <row r="12" spans="1:7" ht="15.95" customHeight="1">
      <c r="A12" s="246" t="str">
        <f>VLOOKUP(Tabel61[[#This Row],[OMSCHRIJVING]],Blad1!A:C,3,FALSE)</f>
        <v>2.4.8</v>
      </c>
      <c r="B12" s="244" t="s">
        <v>33</v>
      </c>
      <c r="C12" s="93"/>
      <c r="D12" s="98"/>
      <c r="E12" s="99"/>
      <c r="F12" s="245"/>
    </row>
    <row r="13" spans="1:7" ht="15.95" customHeight="1">
      <c r="A13" s="246" t="str">
        <f>VLOOKUP(Tabel61[[#This Row],[OMSCHRIJVING]],Blad1!A:C,3,FALSE)</f>
        <v>2.4.12</v>
      </c>
      <c r="B13" s="244" t="s">
        <v>34</v>
      </c>
      <c r="C13" s="93"/>
      <c r="D13" s="98"/>
      <c r="E13" s="99"/>
      <c r="F13" s="245"/>
    </row>
    <row r="14" spans="1:7" ht="15.95" customHeight="1">
      <c r="A14" s="246" t="str">
        <f>VLOOKUP(Tabel61[[#This Row],[OMSCHRIJVING]],Blad1!A:C,3,FALSE)</f>
        <v>2.4.16</v>
      </c>
      <c r="B14" s="244" t="s">
        <v>378</v>
      </c>
      <c r="C14" s="100" t="s">
        <v>514</v>
      </c>
      <c r="D14" s="100"/>
      <c r="E14" s="101"/>
      <c r="F14" s="245"/>
    </row>
    <row r="15" spans="1:7" ht="15.95" customHeight="1">
      <c r="A15" s="246" t="str">
        <f>VLOOKUP(Tabel61[[#This Row],[OMSCHRIJVING]],Blad1!A:C,3,FALSE)</f>
        <v>2.4.27</v>
      </c>
      <c r="B15" s="244" t="s">
        <v>390</v>
      </c>
      <c r="C15" s="102" t="s">
        <v>510</v>
      </c>
      <c r="D15" s="98"/>
      <c r="E15" s="99"/>
      <c r="F15" s="245"/>
    </row>
    <row r="16" spans="1:7" ht="15.95" customHeight="1">
      <c r="A16" s="246" t="str">
        <f>VLOOKUP(Tabel61[[#This Row],[OMSCHRIJVING]],Blad1!A:C,3,FALSE)</f>
        <v>2.4.29</v>
      </c>
      <c r="B16" s="244" t="s">
        <v>392</v>
      </c>
      <c r="C16" s="102" t="s">
        <v>511</v>
      </c>
      <c r="D16" s="103"/>
      <c r="E16" s="104"/>
      <c r="F16" s="245"/>
    </row>
    <row r="17" spans="1:10" s="164" customFormat="1" ht="12.75">
      <c r="A17" s="246" t="str">
        <f>VLOOKUP(Tabel61[[#This Row],[OMSCHRIJVING]],Blad1!A:C,3,FALSE)</f>
        <v>2.4.29</v>
      </c>
      <c r="B17" s="244" t="s">
        <v>392</v>
      </c>
      <c r="C17" s="102" t="s">
        <v>512</v>
      </c>
      <c r="D17" s="105"/>
      <c r="E17" s="106"/>
      <c r="F17" s="245"/>
      <c r="G17" s="163"/>
    </row>
    <row r="18" spans="1:10" ht="15.95" customHeight="1">
      <c r="A18" s="246" t="str">
        <f>VLOOKUP(Tabel61[[#This Row],[OMSCHRIJVING]],Blad1!A:C,3,FALSE)</f>
        <v>2.5.1</v>
      </c>
      <c r="B18" s="244" t="s">
        <v>441</v>
      </c>
      <c r="C18" s="102" t="s">
        <v>40</v>
      </c>
      <c r="D18" s="98"/>
      <c r="E18" s="99"/>
      <c r="F18" s="245"/>
    </row>
    <row r="19" spans="1:10" ht="15.95" customHeight="1" thickBot="1">
      <c r="A19" s="246" t="str">
        <f>VLOOKUP(Tabel61[[#This Row],[OMSCHRIJVING]],Blad1!A:C,3,FALSE)</f>
        <v>3.2</v>
      </c>
      <c r="B19" s="244" t="s">
        <v>544</v>
      </c>
      <c r="C19" s="102"/>
      <c r="D19" s="98"/>
      <c r="E19" s="99"/>
      <c r="F19" s="245"/>
    </row>
    <row r="20" spans="1:10" ht="15.95" customHeight="1" thickTop="1">
      <c r="A20" s="10" t="s">
        <v>206</v>
      </c>
      <c r="B20" s="131"/>
      <c r="C20" s="132"/>
      <c r="D20" s="132"/>
      <c r="E20" s="132"/>
      <c r="F20" s="107">
        <f>SUBTOTAL(109,Tabel61[TOTAALBEDRAG IN EURO])</f>
        <v>0</v>
      </c>
    </row>
    <row r="21" spans="1:10" ht="15.95" customHeight="1" thickBot="1">
      <c r="A21" s="4"/>
      <c r="B21" s="134"/>
      <c r="C21" s="134"/>
      <c r="D21" s="134"/>
      <c r="E21" s="134"/>
      <c r="F21" s="108"/>
      <c r="G21" s="19"/>
    </row>
    <row r="22" spans="1:10" ht="15.95" customHeight="1" thickBot="1">
      <c r="A22" s="5" t="s">
        <v>154</v>
      </c>
      <c r="B22" s="109"/>
      <c r="C22" s="110"/>
      <c r="D22" s="110"/>
      <c r="E22" s="111"/>
      <c r="F22" s="112"/>
    </row>
    <row r="23" spans="1:10" ht="15.95" customHeight="1">
      <c r="A23" s="6" t="s">
        <v>152</v>
      </c>
      <c r="B23" s="113" t="s">
        <v>540</v>
      </c>
      <c r="C23" s="84" t="s">
        <v>153</v>
      </c>
      <c r="D23" s="114" t="s">
        <v>541</v>
      </c>
      <c r="E23" s="115" t="s">
        <v>151</v>
      </c>
      <c r="F23" s="116" t="s">
        <v>156</v>
      </c>
      <c r="H23" s="21"/>
      <c r="I23" s="117"/>
      <c r="J23" s="117"/>
    </row>
    <row r="24" spans="1:10" ht="15.95" customHeight="1">
      <c r="A24" s="7"/>
      <c r="B24" s="142" t="s">
        <v>45</v>
      </c>
      <c r="C24" s="118"/>
      <c r="D24" s="119"/>
      <c r="E24" s="118" t="s">
        <v>44</v>
      </c>
      <c r="F24" s="120">
        <f>Tabel_Totaal_werkzaamheden[[#Totals],[TOTAALBEDRAG IN EURO]]</f>
        <v>0</v>
      </c>
      <c r="H24" s="121"/>
      <c r="I24" s="117"/>
      <c r="J24" s="117"/>
    </row>
    <row r="25" spans="1:10" ht="15.95" customHeight="1">
      <c r="A25" s="7"/>
      <c r="B25" s="142" t="s">
        <v>47</v>
      </c>
      <c r="C25" s="118"/>
      <c r="D25" s="119"/>
      <c r="E25" s="118" t="s">
        <v>46</v>
      </c>
      <c r="F25" s="122">
        <f>Tabel_Totaal_werkzaamheden23[[#Totals],[TOTAALBEDRAG IN EURO]]</f>
        <v>0</v>
      </c>
      <c r="H25" s="121"/>
      <c r="I25" s="117"/>
      <c r="J25" s="117"/>
    </row>
    <row r="26" spans="1:10" ht="15.95" customHeight="1">
      <c r="A26" s="7"/>
      <c r="B26" s="142" t="s">
        <v>49</v>
      </c>
      <c r="C26" s="118"/>
      <c r="D26" s="119"/>
      <c r="E26" s="118" t="s">
        <v>48</v>
      </c>
      <c r="F26" s="122">
        <f>Tabel_Totaal_werkzaamheden235[[#Totals],[TOTAALBEDRAG IN EURO]]</f>
        <v>0</v>
      </c>
      <c r="H26" s="121"/>
      <c r="I26" s="117"/>
      <c r="J26" s="117"/>
    </row>
    <row r="27" spans="1:10" ht="15.95" customHeight="1">
      <c r="A27" s="7"/>
      <c r="B27" s="142" t="s">
        <v>51</v>
      </c>
      <c r="C27" s="118"/>
      <c r="D27" s="119"/>
      <c r="E27" s="118" t="s">
        <v>50</v>
      </c>
      <c r="F27" s="122">
        <f>Tabel_Totaal_werkzaamheden26[[#Totals],[TOTAALBEDRAG IN EURO]]</f>
        <v>0</v>
      </c>
      <c r="H27" s="121"/>
      <c r="I27" s="117"/>
      <c r="J27" s="117"/>
    </row>
    <row r="28" spans="1:10" ht="15.95" customHeight="1">
      <c r="A28" s="7"/>
      <c r="B28" s="142" t="s">
        <v>53</v>
      </c>
      <c r="C28" s="118"/>
      <c r="D28" s="119"/>
      <c r="E28" s="118" t="s">
        <v>52</v>
      </c>
      <c r="F28" s="122">
        <f>Tabel_Totaal_werkzaamheden267[[#Totals],[TOTAALBEDRAG IN EURO]]</f>
        <v>0</v>
      </c>
      <c r="H28" s="121"/>
      <c r="I28" s="117"/>
      <c r="J28" s="117"/>
    </row>
    <row r="29" spans="1:10" ht="15.95" customHeight="1">
      <c r="A29" s="7"/>
      <c r="B29" s="142" t="s">
        <v>55</v>
      </c>
      <c r="C29" s="118"/>
      <c r="D29" s="119"/>
      <c r="E29" s="118" t="s">
        <v>54</v>
      </c>
      <c r="F29" s="122">
        <f>Tabel_Totaal_werkzaamheden28[[#Totals],[TOTAALBEDRAG IN EURO]]</f>
        <v>0</v>
      </c>
      <c r="H29" s="121"/>
      <c r="I29" s="117"/>
      <c r="J29" s="117"/>
    </row>
    <row r="30" spans="1:10" ht="15.95" customHeight="1">
      <c r="A30" s="7"/>
      <c r="B30" s="142" t="s">
        <v>57</v>
      </c>
      <c r="C30" s="118"/>
      <c r="D30" s="119"/>
      <c r="E30" s="118" t="s">
        <v>56</v>
      </c>
      <c r="F30" s="122">
        <f>Tabel_Totaal_werkzaamheden29[[#Totals],[TOTAALBEDRAG IN EURO]]</f>
        <v>0</v>
      </c>
      <c r="H30" s="121"/>
      <c r="I30" s="117"/>
      <c r="J30" s="117"/>
    </row>
    <row r="31" spans="1:10" ht="15.95" customHeight="1">
      <c r="A31" s="7"/>
      <c r="B31" s="142" t="s">
        <v>59</v>
      </c>
      <c r="C31" s="118"/>
      <c r="D31" s="119"/>
      <c r="E31" s="118" t="s">
        <v>58</v>
      </c>
      <c r="F31" s="122">
        <f>Tabel_Totaal_werkzaamheden210[[#Totals],[TOTAALBEDRAG IN EURO]]</f>
        <v>0</v>
      </c>
      <c r="H31" s="121"/>
      <c r="I31" s="117"/>
      <c r="J31" s="117"/>
    </row>
    <row r="32" spans="1:10" ht="15.95" customHeight="1">
      <c r="A32" s="7"/>
      <c r="B32" s="142" t="s">
        <v>61</v>
      </c>
      <c r="C32" s="118"/>
      <c r="D32" s="119"/>
      <c r="E32" s="118" t="s">
        <v>60</v>
      </c>
      <c r="F32" s="122">
        <f>Tabel_Totaal_werkzaamheden211[[#Totals],[TOTAALBEDRAG IN EURO]]</f>
        <v>0</v>
      </c>
      <c r="H32" s="121"/>
      <c r="I32" s="117"/>
      <c r="J32" s="117"/>
    </row>
    <row r="33" spans="1:10" s="97" customFormat="1" ht="15.95" customHeight="1">
      <c r="A33" s="8"/>
      <c r="B33" s="123" t="s">
        <v>63</v>
      </c>
      <c r="C33" s="124"/>
      <c r="D33" s="125"/>
      <c r="E33" s="124" t="s">
        <v>62</v>
      </c>
      <c r="F33" s="122">
        <f>Tabel_Totaal_werkzaamheden213[[#Totals],[TOTAALBEDRAG IN EURO]]</f>
        <v>0</v>
      </c>
      <c r="G33" s="96"/>
      <c r="H33" s="126"/>
      <c r="I33" s="127"/>
      <c r="J33" s="127"/>
    </row>
    <row r="34" spans="1:10" ht="15.95" customHeight="1">
      <c r="A34" s="7"/>
      <c r="B34" s="142" t="s">
        <v>65</v>
      </c>
      <c r="C34" s="118"/>
      <c r="D34" s="119"/>
      <c r="E34" s="118" t="s">
        <v>64</v>
      </c>
      <c r="F34" s="122">
        <f>Tabel_Totaal_werkzaamheden214[[#Totals],[TOTAALBEDRAG IN EURO]]</f>
        <v>0</v>
      </c>
      <c r="H34" s="121"/>
      <c r="I34" s="117"/>
      <c r="J34" s="117"/>
    </row>
    <row r="35" spans="1:10" ht="15.95" customHeight="1">
      <c r="A35" s="7"/>
      <c r="B35" s="142" t="s">
        <v>67</v>
      </c>
      <c r="C35" s="118"/>
      <c r="D35" s="119"/>
      <c r="E35" s="118" t="s">
        <v>66</v>
      </c>
      <c r="F35" s="122">
        <f>Tabel_Totaal_werkzaamheden215[[#Totals],[TOTAALBEDRAG IN EURO]]</f>
        <v>0</v>
      </c>
      <c r="H35" s="121"/>
      <c r="I35" s="117"/>
      <c r="J35" s="117"/>
    </row>
    <row r="36" spans="1:10" ht="15.95" customHeight="1">
      <c r="A36" s="7"/>
      <c r="B36" s="142" t="s">
        <v>69</v>
      </c>
      <c r="C36" s="118"/>
      <c r="D36" s="119"/>
      <c r="E36" s="118" t="s">
        <v>68</v>
      </c>
      <c r="F36" s="122">
        <f>Tabel_Totaal_werkzaamheden216[[#Totals],[TOTAALBEDRAG IN EURO]]</f>
        <v>0</v>
      </c>
      <c r="H36" s="121"/>
      <c r="I36" s="117"/>
      <c r="J36" s="117"/>
    </row>
    <row r="37" spans="1:10" ht="15.95" customHeight="1">
      <c r="A37" s="7"/>
      <c r="B37" s="142" t="s">
        <v>71</v>
      </c>
      <c r="C37" s="118"/>
      <c r="D37" s="119"/>
      <c r="E37" s="118" t="s">
        <v>70</v>
      </c>
      <c r="F37" s="122">
        <f>Tabel_Totaal_werkzaamheden217[[#Totals],[TOTAALBEDRAG IN EURO]]</f>
        <v>0</v>
      </c>
      <c r="H37" s="121"/>
      <c r="I37" s="117"/>
      <c r="J37" s="117"/>
    </row>
    <row r="38" spans="1:10" ht="15.95" customHeight="1">
      <c r="A38" s="7"/>
      <c r="B38" s="142" t="s">
        <v>73</v>
      </c>
      <c r="C38" s="118"/>
      <c r="D38" s="119"/>
      <c r="E38" s="118" t="s">
        <v>72</v>
      </c>
      <c r="F38" s="122">
        <f>Tabel_Totaal_werkzaamheden218[[#Totals],[TOTAALBEDRAG IN EURO]]</f>
        <v>0</v>
      </c>
      <c r="H38" s="121"/>
      <c r="I38" s="117"/>
      <c r="J38" s="117"/>
    </row>
    <row r="39" spans="1:10" ht="15.95" customHeight="1">
      <c r="A39" s="7"/>
      <c r="B39" s="142" t="s">
        <v>75</v>
      </c>
      <c r="C39" s="118"/>
      <c r="D39" s="119"/>
      <c r="E39" s="118" t="s">
        <v>74</v>
      </c>
      <c r="F39" s="122">
        <f>Tabel_Totaal_werkzaamheden219[[#Totals],[TOTAALBEDRAG IN EURO]]</f>
        <v>0</v>
      </c>
      <c r="H39" s="121"/>
      <c r="I39" s="117"/>
      <c r="J39" s="117"/>
    </row>
    <row r="40" spans="1:10" ht="15.95" customHeight="1">
      <c r="A40" s="7"/>
      <c r="B40" s="142" t="s">
        <v>77</v>
      </c>
      <c r="C40" s="118"/>
      <c r="D40" s="119"/>
      <c r="E40" s="118" t="s">
        <v>76</v>
      </c>
      <c r="F40" s="122">
        <f>Tabel_Totaal_werkzaamheden220[[#Totals],[TOTAALBEDRAG IN EURO]]</f>
        <v>0</v>
      </c>
      <c r="H40" s="121"/>
      <c r="I40" s="117"/>
      <c r="J40" s="117"/>
    </row>
    <row r="41" spans="1:10" ht="15.95" customHeight="1">
      <c r="A41" s="7"/>
      <c r="B41" s="142" t="s">
        <v>79</v>
      </c>
      <c r="C41" s="118"/>
      <c r="D41" s="119"/>
      <c r="E41" s="118" t="s">
        <v>78</v>
      </c>
      <c r="F41" s="122">
        <f>Tabel_Totaal_werkzaamheden221[[#Totals],[TOTAALBEDRAG IN EURO]]</f>
        <v>0</v>
      </c>
      <c r="H41" s="121"/>
      <c r="I41" s="117"/>
      <c r="J41" s="117"/>
    </row>
    <row r="42" spans="1:10" ht="15.95" customHeight="1">
      <c r="A42" s="7"/>
      <c r="B42" s="142" t="s">
        <v>81</v>
      </c>
      <c r="C42" s="118"/>
      <c r="D42" s="119"/>
      <c r="E42" s="118" t="s">
        <v>80</v>
      </c>
      <c r="F42" s="122">
        <f>Tabel_Totaal_werkzaamheden222[[#Totals],[TOTAALBEDRAG IN EURO]]</f>
        <v>0</v>
      </c>
      <c r="H42" s="121"/>
      <c r="I42" s="117"/>
      <c r="J42" s="117"/>
    </row>
    <row r="43" spans="1:10" ht="15.95" customHeight="1">
      <c r="A43" s="7"/>
      <c r="B43" s="142" t="s">
        <v>83</v>
      </c>
      <c r="C43" s="118"/>
      <c r="D43" s="119"/>
      <c r="E43" s="118" t="s">
        <v>82</v>
      </c>
      <c r="F43" s="122">
        <f>Tabel_Totaal_werkzaamheden223[[#Totals],[TOTAALBEDRAG IN EURO]]</f>
        <v>0</v>
      </c>
      <c r="H43" s="121"/>
      <c r="I43" s="117"/>
      <c r="J43" s="117"/>
    </row>
    <row r="44" spans="1:10" s="97" customFormat="1" ht="15.95" customHeight="1">
      <c r="A44" s="8"/>
      <c r="B44" s="123" t="s">
        <v>355</v>
      </c>
      <c r="C44" s="124"/>
      <c r="D44" s="125"/>
      <c r="E44" s="128" t="s">
        <v>354</v>
      </c>
      <c r="F44" s="129">
        <f>Tabel_Totaal_werkzaamheden2232[[#Totals],[TOTAALBEDRAG IN EURO]]</f>
        <v>0</v>
      </c>
      <c r="G44" s="96"/>
      <c r="H44" s="126"/>
      <c r="I44" s="127"/>
      <c r="J44" s="127"/>
    </row>
    <row r="45" spans="1:10" ht="15.95" customHeight="1">
      <c r="A45" s="7"/>
      <c r="B45" s="142" t="s">
        <v>85</v>
      </c>
      <c r="C45" s="118"/>
      <c r="D45" s="119"/>
      <c r="E45" s="118" t="s">
        <v>84</v>
      </c>
      <c r="F45" s="122">
        <f>Tabel_Totaal_werkzaamheden224[[#Totals],[TOTAALBEDRAG IN EURO]]</f>
        <v>0</v>
      </c>
      <c r="H45" s="121"/>
      <c r="I45" s="117"/>
      <c r="J45" s="117"/>
    </row>
    <row r="46" spans="1:10" ht="15.95" customHeight="1">
      <c r="A46" s="7"/>
      <c r="B46" s="142" t="s">
        <v>87</v>
      </c>
      <c r="C46" s="118"/>
      <c r="D46" s="119"/>
      <c r="E46" s="118" t="s">
        <v>86</v>
      </c>
      <c r="F46" s="122">
        <f>Tabel_Totaal_werkzaamheden225[[#Totals],[TOTAALBEDRAG IN EURO]]</f>
        <v>0</v>
      </c>
      <c r="H46" s="121"/>
      <c r="I46" s="117"/>
      <c r="J46" s="117"/>
    </row>
    <row r="47" spans="1:10" ht="15.95" customHeight="1">
      <c r="A47" s="7"/>
      <c r="B47" s="142" t="s">
        <v>89</v>
      </c>
      <c r="C47" s="118"/>
      <c r="D47" s="119"/>
      <c r="E47" s="118" t="s">
        <v>88</v>
      </c>
      <c r="F47" s="122">
        <f>Tabel_Totaal_werkzaamheden258[[#Totals],[TOTAALBEDRAG IN EURO]]</f>
        <v>0</v>
      </c>
      <c r="H47" s="121"/>
      <c r="I47" s="117"/>
      <c r="J47" s="117"/>
    </row>
    <row r="48" spans="1:10" ht="15.95" customHeight="1">
      <c r="A48" s="7"/>
      <c r="B48" s="142" t="s">
        <v>91</v>
      </c>
      <c r="C48" s="118"/>
      <c r="D48" s="119"/>
      <c r="E48" s="118" t="s">
        <v>90</v>
      </c>
      <c r="F48" s="122">
        <f>Tabel_Totaal_werkzaamheden257[[#Totals],[TOTAALBEDRAG IN EURO]]</f>
        <v>0</v>
      </c>
      <c r="H48" s="121"/>
      <c r="I48" s="117"/>
      <c r="J48" s="117"/>
    </row>
    <row r="49" spans="1:10" ht="15.95" customHeight="1">
      <c r="A49" s="7"/>
      <c r="B49" s="142" t="s">
        <v>93</v>
      </c>
      <c r="C49" s="118"/>
      <c r="D49" s="119"/>
      <c r="E49" s="118" t="s">
        <v>92</v>
      </c>
      <c r="F49" s="122">
        <f>Tabel_Totaal_werkzaamheden256[[#Totals],[TOTAALBEDRAG IN EURO]]</f>
        <v>0</v>
      </c>
      <c r="H49" s="121"/>
      <c r="I49" s="117"/>
      <c r="J49" s="117"/>
    </row>
    <row r="50" spans="1:10" ht="15.95" customHeight="1">
      <c r="A50" s="7"/>
      <c r="B50" s="142" t="s">
        <v>95</v>
      </c>
      <c r="C50" s="118"/>
      <c r="D50" s="119"/>
      <c r="E50" s="118" t="s">
        <v>94</v>
      </c>
      <c r="F50" s="122">
        <f>Tabel_Totaal_werkzaamheden255[[#Totals],[TOTAALBEDRAG IN EURO]]</f>
        <v>0</v>
      </c>
      <c r="H50" s="121"/>
      <c r="I50" s="117"/>
      <c r="J50" s="117"/>
    </row>
    <row r="51" spans="1:10" ht="15.95" customHeight="1">
      <c r="A51" s="7"/>
      <c r="B51" s="142" t="s">
        <v>97</v>
      </c>
      <c r="C51" s="118"/>
      <c r="D51" s="119"/>
      <c r="E51" s="118" t="s">
        <v>96</v>
      </c>
      <c r="F51" s="122">
        <f>Tabel_Totaal_werkzaamheden254[[#Totals],[TOTAALBEDRAG IN EURO]]</f>
        <v>0</v>
      </c>
      <c r="H51" s="121"/>
      <c r="I51" s="117"/>
      <c r="J51" s="117"/>
    </row>
    <row r="52" spans="1:10" ht="15.95" customHeight="1">
      <c r="A52" s="7"/>
      <c r="B52" s="142" t="s">
        <v>99</v>
      </c>
      <c r="C52" s="118"/>
      <c r="D52" s="119"/>
      <c r="E52" s="118" t="s">
        <v>98</v>
      </c>
      <c r="F52" s="122">
        <f>Tabel_Totaal_werkzaamheden253[[#Totals],[TOTAALBEDRAG IN EURO]]</f>
        <v>0</v>
      </c>
      <c r="H52" s="121"/>
      <c r="I52" s="117"/>
      <c r="J52" s="117"/>
    </row>
    <row r="53" spans="1:10" ht="15.95" customHeight="1">
      <c r="A53" s="7"/>
      <c r="B53" s="142" t="s">
        <v>101</v>
      </c>
      <c r="C53" s="118"/>
      <c r="D53" s="119"/>
      <c r="E53" s="118" t="s">
        <v>100</v>
      </c>
      <c r="F53" s="122">
        <f>Tabel_Totaal_werkzaamheden252[[#Totals],[TOTAALBEDRAG IN EURO]]</f>
        <v>0</v>
      </c>
      <c r="H53" s="121"/>
      <c r="I53" s="117"/>
      <c r="J53" s="117"/>
    </row>
    <row r="54" spans="1:10" ht="15.95" customHeight="1">
      <c r="A54" s="7"/>
      <c r="B54" s="142" t="s">
        <v>103</v>
      </c>
      <c r="C54" s="118"/>
      <c r="D54" s="119"/>
      <c r="E54" s="118" t="s">
        <v>102</v>
      </c>
      <c r="F54" s="122">
        <f>Tabel_Totaal_werkzaamheden251[[#Totals],[TOTAALBEDRAG IN EURO]]</f>
        <v>0</v>
      </c>
      <c r="H54" s="121"/>
      <c r="I54" s="117"/>
      <c r="J54" s="117"/>
    </row>
    <row r="55" spans="1:10" ht="15.95" customHeight="1">
      <c r="A55" s="7"/>
      <c r="B55" s="142" t="s">
        <v>105</v>
      </c>
      <c r="C55" s="118"/>
      <c r="D55" s="119"/>
      <c r="E55" s="118" t="s">
        <v>104</v>
      </c>
      <c r="F55" s="122">
        <f>Tabel_Totaal_werkzaamheden250[[#Totals],[TOTAALBEDRAG IN EURO]]</f>
        <v>0</v>
      </c>
      <c r="H55" s="121"/>
      <c r="I55" s="117"/>
      <c r="J55" s="117"/>
    </row>
    <row r="56" spans="1:10" ht="15.95" customHeight="1">
      <c r="A56" s="7"/>
      <c r="B56" s="142" t="s">
        <v>107</v>
      </c>
      <c r="C56" s="118"/>
      <c r="D56" s="119"/>
      <c r="E56" s="118" t="s">
        <v>106</v>
      </c>
      <c r="F56" s="122">
        <f>Tabel_Totaal_werkzaamheden249[[#Totals],[TOTAALBEDRAG IN EURO]]</f>
        <v>0</v>
      </c>
      <c r="H56" s="121"/>
      <c r="I56" s="117"/>
      <c r="J56" s="117"/>
    </row>
    <row r="57" spans="1:10" ht="15.95" customHeight="1">
      <c r="A57" s="7"/>
      <c r="B57" s="142" t="s">
        <v>109</v>
      </c>
      <c r="C57" s="118"/>
      <c r="D57" s="119"/>
      <c r="E57" s="118" t="s">
        <v>108</v>
      </c>
      <c r="F57" s="122">
        <f>Tabel_Totaal_werkzaamheden248[[#Totals],[TOTAALBEDRAG IN EURO]]</f>
        <v>0</v>
      </c>
      <c r="H57" s="121"/>
      <c r="I57" s="117"/>
      <c r="J57" s="117"/>
    </row>
    <row r="58" spans="1:10" ht="15.95" customHeight="1">
      <c r="A58" s="7"/>
      <c r="B58" s="142" t="s">
        <v>111</v>
      </c>
      <c r="C58" s="118"/>
      <c r="D58" s="119"/>
      <c r="E58" s="118" t="s">
        <v>110</v>
      </c>
      <c r="F58" s="122">
        <f>Tabel_Totaal_werkzaamheden246[[#Totals],[TOTAALBEDRAG IN EURO]]</f>
        <v>0</v>
      </c>
      <c r="H58" s="121"/>
      <c r="I58" s="117"/>
      <c r="J58" s="117"/>
    </row>
    <row r="59" spans="1:10" ht="15.95" customHeight="1">
      <c r="A59" s="7"/>
      <c r="B59" s="142" t="s">
        <v>113</v>
      </c>
      <c r="C59" s="118"/>
      <c r="D59" s="119"/>
      <c r="E59" s="118" t="s">
        <v>112</v>
      </c>
      <c r="F59" s="122">
        <f>Tabel_Totaal_werkzaamheden246[[#Totals],[TOTAALBEDRAG IN EURO]]</f>
        <v>0</v>
      </c>
      <c r="H59" s="121"/>
      <c r="I59" s="117"/>
      <c r="J59" s="117"/>
    </row>
    <row r="60" spans="1:10" ht="15.95" customHeight="1">
      <c r="A60" s="7"/>
      <c r="B60" s="142" t="s">
        <v>115</v>
      </c>
      <c r="C60" s="118"/>
      <c r="D60" s="119"/>
      <c r="E60" s="118" t="s">
        <v>114</v>
      </c>
      <c r="F60" s="122">
        <f>Tabel_Totaal_werkzaamheden245[[#Totals],[TOTAALBEDRAG IN EURO]]</f>
        <v>0</v>
      </c>
      <c r="H60" s="121"/>
      <c r="I60" s="117"/>
      <c r="J60" s="117"/>
    </row>
    <row r="61" spans="1:10" ht="15.95" customHeight="1">
      <c r="A61" s="7"/>
      <c r="B61" s="142" t="s">
        <v>83</v>
      </c>
      <c r="C61" s="118"/>
      <c r="D61" s="119"/>
      <c r="E61" s="118" t="s">
        <v>116</v>
      </c>
      <c r="F61" s="122">
        <f>Tabel_Totaal_werkzaamheden244[[#Totals],[TOTAALBEDRAG IN EURO]]</f>
        <v>0</v>
      </c>
      <c r="H61" s="121"/>
      <c r="I61" s="117"/>
      <c r="J61" s="117"/>
    </row>
    <row r="62" spans="1:10" ht="15.95" customHeight="1">
      <c r="A62" s="7"/>
      <c r="B62" s="142" t="s">
        <v>83</v>
      </c>
      <c r="C62" s="118"/>
      <c r="D62" s="119"/>
      <c r="E62" s="118" t="s">
        <v>117</v>
      </c>
      <c r="F62" s="122">
        <f>Tabel_Totaal_werkzaamheden243[[#Totals],[TOTAALBEDRAG IN EURO]]</f>
        <v>0</v>
      </c>
      <c r="H62" s="121"/>
      <c r="I62" s="117"/>
      <c r="J62" s="117"/>
    </row>
    <row r="63" spans="1:10" ht="15.95" customHeight="1">
      <c r="A63" s="7"/>
      <c r="B63" s="142" t="s">
        <v>119</v>
      </c>
      <c r="C63" s="118"/>
      <c r="D63" s="119"/>
      <c r="E63" s="118" t="s">
        <v>118</v>
      </c>
      <c r="F63" s="122">
        <f>Tabel_Totaal_werkzaamheden242[[#Totals],[TOTAALBEDRAG IN EURO]]</f>
        <v>0</v>
      </c>
      <c r="H63" s="121"/>
      <c r="I63" s="117"/>
      <c r="J63" s="117"/>
    </row>
    <row r="64" spans="1:10" ht="15.95" customHeight="1">
      <c r="A64" s="7"/>
      <c r="B64" s="142" t="s">
        <v>121</v>
      </c>
      <c r="C64" s="118"/>
      <c r="D64" s="119"/>
      <c r="E64" s="118" t="s">
        <v>120</v>
      </c>
      <c r="F64" s="122">
        <f>Tabel_Totaal_werkzaamheden241[[#Totals],[TOTAALBEDRAG IN EURO]]</f>
        <v>0</v>
      </c>
      <c r="H64" s="121"/>
      <c r="I64" s="117"/>
      <c r="J64" s="117"/>
    </row>
    <row r="65" spans="1:10" ht="15.95" customHeight="1">
      <c r="A65" s="7"/>
      <c r="B65" s="142" t="s">
        <v>123</v>
      </c>
      <c r="C65" s="118"/>
      <c r="D65" s="119"/>
      <c r="E65" s="118" t="s">
        <v>122</v>
      </c>
      <c r="F65" s="122">
        <f>Tabel_Totaal_werkzaamheden240[[#Totals],[TOTAALBEDRAG IN EURO]]</f>
        <v>0</v>
      </c>
      <c r="H65" s="121"/>
      <c r="I65" s="117"/>
      <c r="J65" s="117"/>
    </row>
    <row r="66" spans="1:10" ht="15.95" customHeight="1">
      <c r="A66" s="7"/>
      <c r="B66" s="142" t="s">
        <v>125</v>
      </c>
      <c r="C66" s="118"/>
      <c r="D66" s="119"/>
      <c r="E66" s="118" t="s">
        <v>124</v>
      </c>
      <c r="F66" s="122">
        <f>Tabel_Totaal_werkzaamheden239[[#Totals],[TOTAALBEDRAG IN EURO]]</f>
        <v>0</v>
      </c>
      <c r="H66" s="121"/>
      <c r="I66" s="117"/>
      <c r="J66" s="117"/>
    </row>
    <row r="67" spans="1:10" ht="15.95" customHeight="1">
      <c r="A67" s="7"/>
      <c r="B67" s="142" t="s">
        <v>127</v>
      </c>
      <c r="C67" s="118"/>
      <c r="D67" s="119"/>
      <c r="E67" s="118" t="s">
        <v>126</v>
      </c>
      <c r="F67" s="122">
        <f>Tabel_Totaal_werkzaamheden238[[#Totals],[TOTAALBEDRAG IN EURO]]</f>
        <v>0</v>
      </c>
      <c r="H67" s="121"/>
      <c r="I67" s="117"/>
      <c r="J67" s="117"/>
    </row>
    <row r="68" spans="1:10" ht="15.95" customHeight="1">
      <c r="A68" s="7"/>
      <c r="B68" s="142" t="s">
        <v>129</v>
      </c>
      <c r="C68" s="118"/>
      <c r="D68" s="119"/>
      <c r="E68" s="118" t="s">
        <v>128</v>
      </c>
      <c r="F68" s="122">
        <f>Tabel_Totaal_werkzaamheden237[[#Totals],[TOTAALBEDRAG IN EURO]]</f>
        <v>0</v>
      </c>
      <c r="H68" s="121"/>
      <c r="I68" s="117"/>
      <c r="J68" s="117"/>
    </row>
    <row r="69" spans="1:10" ht="15.95" customHeight="1">
      <c r="A69" s="7"/>
      <c r="B69" s="142" t="s">
        <v>131</v>
      </c>
      <c r="C69" s="118"/>
      <c r="D69" s="119"/>
      <c r="E69" s="118" t="s">
        <v>130</v>
      </c>
      <c r="F69" s="122">
        <f>Tabel_Totaal_werkzaamheden236[[#Totals],[TOTAALBEDRAG IN EURO]]</f>
        <v>0</v>
      </c>
      <c r="H69" s="121"/>
      <c r="I69" s="117"/>
      <c r="J69" s="117"/>
    </row>
    <row r="70" spans="1:10" ht="15.95" customHeight="1">
      <c r="A70" s="7"/>
      <c r="B70" s="142" t="s">
        <v>133</v>
      </c>
      <c r="C70" s="118"/>
      <c r="D70" s="119"/>
      <c r="E70" s="118" t="s">
        <v>132</v>
      </c>
      <c r="F70" s="122">
        <f>Tabel_Totaal_werkzaamheden234[[#Totals],[TOTAALBEDRAG IN EURO]]</f>
        <v>0</v>
      </c>
      <c r="H70" s="121"/>
      <c r="I70" s="117"/>
      <c r="J70" s="117"/>
    </row>
    <row r="71" spans="1:10" ht="15.95" customHeight="1">
      <c r="A71" s="7"/>
      <c r="B71" s="142" t="s">
        <v>135</v>
      </c>
      <c r="C71" s="118"/>
      <c r="D71" s="119"/>
      <c r="E71" s="118" t="s">
        <v>134</v>
      </c>
      <c r="F71" s="122">
        <f>Tabel_Totaal_werkzaamheden233[[#Totals],[TOTAALBEDRAG IN EURO]]</f>
        <v>0</v>
      </c>
      <c r="H71" s="121"/>
      <c r="I71" s="117"/>
      <c r="J71" s="117"/>
    </row>
    <row r="72" spans="1:10" ht="15.95" customHeight="1">
      <c r="A72" s="7"/>
      <c r="B72" s="142" t="s">
        <v>137</v>
      </c>
      <c r="C72" s="118"/>
      <c r="D72" s="119"/>
      <c r="E72" s="118" t="s">
        <v>136</v>
      </c>
      <c r="F72" s="122">
        <f>Tabel_Totaal_werkzaamheden232[[#Totals],[TOTAALBEDRAG IN EURO]]</f>
        <v>0</v>
      </c>
      <c r="H72" s="121"/>
      <c r="I72" s="117"/>
      <c r="J72" s="117"/>
    </row>
    <row r="73" spans="1:10" ht="15.95" customHeight="1">
      <c r="A73" s="7"/>
      <c r="B73" s="142" t="s">
        <v>139</v>
      </c>
      <c r="C73" s="118"/>
      <c r="D73" s="119"/>
      <c r="E73" s="118" t="s">
        <v>138</v>
      </c>
      <c r="F73" s="122">
        <f>Tabel_Totaal_werkzaamheden231[[#Totals],[TOTAALBEDRAG IN EURO]]</f>
        <v>0</v>
      </c>
      <c r="H73" s="121"/>
      <c r="I73" s="117"/>
      <c r="J73" s="117"/>
    </row>
    <row r="74" spans="1:10" ht="15.95" customHeight="1">
      <c r="A74" s="7"/>
      <c r="B74" s="142" t="s">
        <v>141</v>
      </c>
      <c r="C74" s="118"/>
      <c r="D74" s="119"/>
      <c r="E74" s="118" t="s">
        <v>140</v>
      </c>
      <c r="F74" s="122">
        <f>Tabel_Totaal_werkzaamheden230[[#Totals],[TOTAALBEDRAG IN EURO]]</f>
        <v>0</v>
      </c>
      <c r="H74" s="121"/>
      <c r="I74" s="117"/>
      <c r="J74" s="117"/>
    </row>
    <row r="75" spans="1:10" ht="15.95" customHeight="1">
      <c r="A75" s="7"/>
      <c r="B75" s="142" t="s">
        <v>143</v>
      </c>
      <c r="C75" s="118"/>
      <c r="D75" s="119"/>
      <c r="E75" s="118" t="s">
        <v>142</v>
      </c>
      <c r="F75" s="122">
        <f>Tabel_Totaal_werkzaamheden229[[#Totals],[TOTAALBEDRAG IN EURO]]</f>
        <v>0</v>
      </c>
      <c r="H75" s="121"/>
      <c r="I75" s="117"/>
      <c r="J75" s="117"/>
    </row>
    <row r="76" spans="1:10" ht="15.95" customHeight="1">
      <c r="A76" s="7"/>
      <c r="B76" s="142" t="s">
        <v>145</v>
      </c>
      <c r="C76" s="118"/>
      <c r="D76" s="119"/>
      <c r="E76" s="118" t="s">
        <v>144</v>
      </c>
      <c r="F76" s="122">
        <f>Tabel_Totaal_werkzaamheden228[[#Totals],[TOTAALBEDRAG IN EURO]]</f>
        <v>0</v>
      </c>
      <c r="H76" s="121"/>
      <c r="I76" s="117"/>
      <c r="J76" s="117"/>
    </row>
    <row r="77" spans="1:10" ht="15.95" customHeight="1">
      <c r="A77" s="7"/>
      <c r="B77" s="142" t="s">
        <v>147</v>
      </c>
      <c r="C77" s="118"/>
      <c r="D77" s="119"/>
      <c r="E77" s="118" t="s">
        <v>146</v>
      </c>
      <c r="F77" s="122">
        <f>Tabel_Totaal_werkzaamheden227[[#Totals],[TOTAALBEDRAG IN EURO]]</f>
        <v>0</v>
      </c>
      <c r="H77" s="121"/>
      <c r="I77" s="117"/>
      <c r="J77" s="117"/>
    </row>
    <row r="78" spans="1:10" ht="15.95" customHeight="1" thickBot="1">
      <c r="A78" s="9"/>
      <c r="B78" s="142" t="s">
        <v>149</v>
      </c>
      <c r="C78" s="118"/>
      <c r="D78" s="119"/>
      <c r="E78" s="130" t="s">
        <v>148</v>
      </c>
      <c r="F78" s="129">
        <f>Tabel_Totaal_werkzaamheden226[[#Totals],[TOTAALBEDRAG IN EURO]]</f>
        <v>0</v>
      </c>
      <c r="H78" s="121"/>
      <c r="I78" s="117"/>
      <c r="J78" s="117"/>
    </row>
    <row r="79" spans="1:10" ht="15.95" customHeight="1" thickTop="1">
      <c r="A79" s="10" t="s">
        <v>207</v>
      </c>
      <c r="B79" s="131"/>
      <c r="C79" s="132"/>
      <c r="D79" s="132"/>
      <c r="E79" s="132"/>
      <c r="F79" s="133">
        <f>SUBTOTAL(109,Totalen_tabbladen_objecten[Totaal object])</f>
        <v>0</v>
      </c>
      <c r="H79" s="121"/>
      <c r="I79" s="117"/>
      <c r="J79" s="117"/>
    </row>
    <row r="80" spans="1:10" ht="15.95" customHeight="1" thickBot="1">
      <c r="A80" s="134"/>
      <c r="B80" s="285"/>
      <c r="C80" s="285"/>
      <c r="D80" s="285"/>
      <c r="E80" s="286"/>
      <c r="F80" s="135"/>
      <c r="H80" s="121"/>
      <c r="I80" s="117"/>
      <c r="J80" s="117"/>
    </row>
    <row r="81" spans="1:10" ht="15.95" customHeight="1" thickBot="1">
      <c r="A81" s="11" t="s">
        <v>4</v>
      </c>
      <c r="B81" s="136"/>
      <c r="C81" s="137"/>
      <c r="D81" s="137"/>
      <c r="E81" s="137"/>
      <c r="F81" s="138">
        <f>Tabel61[[#Totals],[TOTAALBEDRAG IN EURO]]+Totalen_tabbladen_objecten[[#Totals],[Totaal object]]</f>
        <v>0</v>
      </c>
      <c r="H81" s="121"/>
      <c r="I81" s="117"/>
      <c r="J81" s="117"/>
    </row>
    <row r="82" spans="1:10" ht="15.95" customHeight="1">
      <c r="A82" s="7"/>
      <c r="B82" s="118" t="s">
        <v>5</v>
      </c>
      <c r="C82" s="201">
        <v>0</v>
      </c>
      <c r="D82" s="139" t="s">
        <v>150</v>
      </c>
      <c r="E82" s="118"/>
      <c r="F82" s="140">
        <f>$F$81*C82</f>
        <v>0</v>
      </c>
      <c r="H82" s="121"/>
      <c r="I82" s="117"/>
      <c r="J82" s="117"/>
    </row>
    <row r="83" spans="1:10" ht="15.95" customHeight="1">
      <c r="A83" s="7"/>
      <c r="B83" s="118" t="s">
        <v>6</v>
      </c>
      <c r="C83" s="202">
        <v>0</v>
      </c>
      <c r="D83" s="139" t="s">
        <v>150</v>
      </c>
      <c r="E83" s="118"/>
      <c r="F83" s="140">
        <f>$F$81*C83</f>
        <v>0</v>
      </c>
      <c r="H83" s="121"/>
      <c r="I83" s="117"/>
      <c r="J83" s="117"/>
    </row>
    <row r="84" spans="1:10" ht="15.95" customHeight="1">
      <c r="A84" s="7"/>
      <c r="B84" s="118" t="s">
        <v>7</v>
      </c>
      <c r="C84" s="202">
        <v>0</v>
      </c>
      <c r="D84" s="139" t="s">
        <v>150</v>
      </c>
      <c r="E84" s="118"/>
      <c r="F84" s="140">
        <f>$F$81*C84</f>
        <v>0</v>
      </c>
      <c r="H84" s="121"/>
      <c r="I84" s="117"/>
      <c r="J84" s="117"/>
    </row>
    <row r="85" spans="1:10" ht="15.95" customHeight="1" thickBot="1">
      <c r="A85" s="141"/>
      <c r="B85" s="287"/>
      <c r="C85" s="287"/>
      <c r="D85" s="287"/>
      <c r="E85" s="288"/>
      <c r="F85" s="143"/>
      <c r="H85" s="121"/>
      <c r="I85" s="117"/>
      <c r="J85" s="117"/>
    </row>
    <row r="86" spans="1:10" ht="15.95" customHeight="1" thickTop="1" thickBot="1">
      <c r="A86" s="144" t="s">
        <v>15</v>
      </c>
      <c r="B86" s="145"/>
      <c r="C86" s="146"/>
      <c r="D86" s="146"/>
      <c r="E86" s="146"/>
      <c r="F86" s="147">
        <f>SUM(F81:F85)</f>
        <v>0</v>
      </c>
      <c r="H86" s="121"/>
      <c r="I86" s="117"/>
      <c r="J86" s="117"/>
    </row>
    <row r="87" spans="1:10" ht="15.95" customHeight="1">
      <c r="A87" s="3"/>
      <c r="B87" s="142"/>
      <c r="C87" s="148"/>
      <c r="D87" s="148"/>
      <c r="E87" s="149"/>
      <c r="F87" s="143"/>
      <c r="H87" s="121"/>
      <c r="I87" s="117"/>
      <c r="J87" s="117"/>
    </row>
    <row r="88" spans="1:10" ht="15.95" customHeight="1">
      <c r="A88" s="3"/>
      <c r="B88" s="142" t="s">
        <v>8</v>
      </c>
      <c r="C88" s="142"/>
      <c r="D88" s="142"/>
      <c r="E88" s="150"/>
      <c r="F88" s="140">
        <v>400000</v>
      </c>
      <c r="H88" s="121"/>
      <c r="I88" s="117"/>
      <c r="J88" s="117"/>
    </row>
    <row r="89" spans="1:10" ht="15.95" customHeight="1">
      <c r="A89" s="3"/>
      <c r="B89" s="142"/>
      <c r="C89" s="142"/>
      <c r="D89" s="142"/>
      <c r="E89" s="150"/>
      <c r="F89" s="140"/>
      <c r="H89" s="121"/>
      <c r="I89" s="117"/>
      <c r="J89" s="117"/>
    </row>
    <row r="90" spans="1:10" ht="15.95" customHeight="1">
      <c r="A90" s="3"/>
      <c r="B90" s="293" t="s">
        <v>16</v>
      </c>
      <c r="C90" s="294"/>
      <c r="D90" s="123"/>
      <c r="E90" s="256"/>
      <c r="F90" s="140">
        <v>0</v>
      </c>
      <c r="H90" s="121"/>
      <c r="I90" s="117"/>
      <c r="J90" s="117"/>
    </row>
    <row r="91" spans="1:10" ht="15.95" customHeight="1">
      <c r="A91" s="3"/>
      <c r="B91" s="293" t="s">
        <v>16</v>
      </c>
      <c r="C91" s="294"/>
      <c r="D91" s="123"/>
      <c r="E91" s="256"/>
      <c r="F91" s="140">
        <v>0</v>
      </c>
      <c r="H91" s="121"/>
      <c r="I91" s="117"/>
      <c r="J91" s="117"/>
    </row>
    <row r="92" spans="1:10" ht="15.95" customHeight="1">
      <c r="A92" s="3"/>
      <c r="B92" s="293" t="s">
        <v>16</v>
      </c>
      <c r="C92" s="294"/>
      <c r="D92" s="123"/>
      <c r="E92" s="256"/>
      <c r="F92" s="140">
        <v>0</v>
      </c>
      <c r="H92" s="121"/>
      <c r="I92" s="117"/>
      <c r="J92" s="117"/>
    </row>
    <row r="93" spans="1:10" ht="15.95" customHeight="1">
      <c r="A93" s="3"/>
      <c r="B93" s="293" t="s">
        <v>16</v>
      </c>
      <c r="C93" s="294"/>
      <c r="D93" s="123"/>
      <c r="E93" s="256"/>
      <c r="F93" s="140">
        <v>0</v>
      </c>
      <c r="H93" s="121"/>
      <c r="I93" s="117"/>
      <c r="J93" s="117"/>
    </row>
    <row r="94" spans="1:10" ht="15.95" customHeight="1">
      <c r="A94" s="3"/>
      <c r="B94" s="293" t="s">
        <v>16</v>
      </c>
      <c r="C94" s="294"/>
      <c r="D94" s="123"/>
      <c r="E94" s="256"/>
      <c r="F94" s="140">
        <v>0</v>
      </c>
      <c r="H94" s="121"/>
      <c r="I94" s="117"/>
      <c r="J94" s="117"/>
    </row>
    <row r="95" spans="1:10" ht="15.95" customHeight="1" thickBot="1">
      <c r="A95" s="151"/>
      <c r="B95" s="289"/>
      <c r="C95" s="289"/>
      <c r="D95" s="289"/>
      <c r="E95" s="290"/>
      <c r="F95" s="140"/>
      <c r="H95" s="121"/>
      <c r="I95" s="117"/>
      <c r="J95" s="117"/>
    </row>
    <row r="96" spans="1:10" ht="15.95" customHeight="1" thickTop="1" thickBot="1">
      <c r="A96" s="144" t="s">
        <v>9</v>
      </c>
      <c r="B96" s="145"/>
      <c r="C96" s="146"/>
      <c r="D96" s="146"/>
      <c r="E96" s="146"/>
      <c r="F96" s="147">
        <f>SUM(F86:F95)</f>
        <v>400000</v>
      </c>
      <c r="H96" s="121"/>
      <c r="I96" s="117"/>
      <c r="J96" s="117"/>
    </row>
    <row r="97" spans="1:10" ht="15.95" customHeight="1" thickBot="1">
      <c r="B97" s="291"/>
      <c r="C97" s="291"/>
      <c r="D97" s="291"/>
      <c r="E97" s="292"/>
      <c r="F97" s="292"/>
      <c r="H97" s="121"/>
      <c r="I97" s="117"/>
      <c r="J97" s="117"/>
    </row>
    <row r="98" spans="1:10" ht="75" customHeight="1">
      <c r="A98" s="269" t="s">
        <v>10</v>
      </c>
      <c r="B98" s="270"/>
      <c r="C98" s="270"/>
      <c r="D98" s="270"/>
      <c r="E98" s="271"/>
      <c r="F98" s="272"/>
      <c r="H98" s="121"/>
      <c r="I98" s="117"/>
      <c r="J98" s="117"/>
    </row>
    <row r="99" spans="1:10" ht="72" customHeight="1">
      <c r="A99" s="273" t="s">
        <v>11</v>
      </c>
      <c r="B99" s="274"/>
      <c r="C99" s="274"/>
      <c r="D99" s="275"/>
      <c r="E99" s="265" t="s">
        <v>12</v>
      </c>
      <c r="F99" s="266"/>
      <c r="H99" s="121"/>
      <c r="I99" s="117"/>
      <c r="J99" s="117"/>
    </row>
    <row r="100" spans="1:10" ht="75" customHeight="1">
      <c r="A100" s="276" t="s">
        <v>13</v>
      </c>
      <c r="B100" s="277"/>
      <c r="C100" s="277"/>
      <c r="D100" s="278"/>
      <c r="E100" s="265" t="s">
        <v>12</v>
      </c>
      <c r="F100" s="266"/>
      <c r="H100" s="121"/>
      <c r="I100" s="117"/>
      <c r="J100" s="117"/>
    </row>
    <row r="101" spans="1:10" ht="75" customHeight="1" thickBot="1">
      <c r="A101" s="279" t="s">
        <v>14</v>
      </c>
      <c r="B101" s="280"/>
      <c r="C101" s="280"/>
      <c r="D101" s="281"/>
      <c r="E101" s="267" t="s">
        <v>12</v>
      </c>
      <c r="F101" s="268"/>
      <c r="H101" s="121"/>
      <c r="I101" s="117"/>
      <c r="J101" s="117"/>
    </row>
    <row r="102" spans="1:10" ht="15.95" customHeight="1">
      <c r="H102" s="121"/>
      <c r="I102" s="117"/>
      <c r="J102" s="117"/>
    </row>
    <row r="103" spans="1:10" ht="15.95" customHeight="1">
      <c r="H103" s="121"/>
      <c r="I103" s="117"/>
      <c r="J103" s="117"/>
    </row>
    <row r="104" spans="1:10" ht="15.95" customHeight="1">
      <c r="H104" s="121"/>
      <c r="I104" s="117"/>
      <c r="J104" s="117"/>
    </row>
    <row r="105" spans="1:10" ht="15.95" customHeight="1">
      <c r="H105" s="121"/>
      <c r="I105" s="117"/>
      <c r="J105" s="117"/>
    </row>
    <row r="106" spans="1:10" ht="15.95" customHeight="1">
      <c r="H106" s="121"/>
      <c r="I106" s="117"/>
      <c r="J106" s="117"/>
    </row>
    <row r="107" spans="1:10" ht="15.95" customHeight="1">
      <c r="H107" s="121"/>
      <c r="I107" s="117"/>
      <c r="J107" s="117"/>
    </row>
    <row r="108" spans="1:10" ht="15.95" customHeight="1">
      <c r="H108" s="121"/>
      <c r="I108" s="117"/>
      <c r="J108" s="117"/>
    </row>
    <row r="109" spans="1:10" ht="15.95" customHeight="1">
      <c r="H109" s="121"/>
      <c r="I109" s="117"/>
      <c r="J109" s="117"/>
    </row>
  </sheetData>
  <mergeCells count="17">
    <mergeCell ref="A3:F3"/>
    <mergeCell ref="B80:E80"/>
    <mergeCell ref="B85:E85"/>
    <mergeCell ref="B95:E95"/>
    <mergeCell ref="B97:F97"/>
    <mergeCell ref="B90:C90"/>
    <mergeCell ref="B91:C91"/>
    <mergeCell ref="B92:C92"/>
    <mergeCell ref="B93:C93"/>
    <mergeCell ref="B94:C94"/>
    <mergeCell ref="E99:F99"/>
    <mergeCell ref="E100:F100"/>
    <mergeCell ref="E101:F101"/>
    <mergeCell ref="A98:F98"/>
    <mergeCell ref="A99:D99"/>
    <mergeCell ref="A100:D100"/>
    <mergeCell ref="A101:D101"/>
  </mergeCells>
  <phoneticPr fontId="17" type="noConversion"/>
  <conditionalFormatting sqref="F5:F7">
    <cfRule type="cellIs" dxfId="36" priority="1" operator="greaterThan">
      <formula>0</formula>
    </cfRule>
    <cfRule type="cellIs" dxfId="35" priority="2" operator="notEqual">
      <formula>""</formula>
    </cfRule>
  </conditionalFormatting>
  <conditionalFormatting sqref="F8:F19">
    <cfRule type="cellIs" dxfId="34" priority="3" operator="greaterThan">
      <formula>0</formula>
    </cfRule>
    <cfRule type="cellIs" dxfId="33" priority="4" operator="notEqual">
      <formula>""</formula>
    </cfRule>
  </conditionalFormatting>
  <pageMargins left="0.59055118110236227" right="0.51181102362204722" top="1.4173228346456694" bottom="1.3779527559055118" header="0.31496062992125984" footer="0.31496062992125984"/>
  <pageSetup paperSize="9" scale="64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6" ht="15.95" customHeight="1">
      <c r="A1" s="261" t="s">
        <v>41</v>
      </c>
      <c r="B1" s="262"/>
      <c r="C1" s="262"/>
      <c r="D1" s="262"/>
      <c r="E1" s="262"/>
      <c r="F1" s="262"/>
    </row>
    <row r="2" spans="1:6" ht="15.95" customHeight="1" thickBot="1">
      <c r="A2" s="263"/>
      <c r="B2" s="264"/>
      <c r="C2" s="264"/>
      <c r="D2" s="264"/>
      <c r="E2" s="264"/>
      <c r="F2" s="264"/>
    </row>
    <row r="3" spans="1:6" ht="15.75" customHeight="1" thickBot="1">
      <c r="A3" s="22" t="s">
        <v>50</v>
      </c>
      <c r="B3" s="23" t="s">
        <v>51</v>
      </c>
      <c r="C3" s="24"/>
      <c r="D3" s="24"/>
      <c r="E3" s="25"/>
      <c r="F3" s="26"/>
    </row>
    <row r="4" spans="1:6" ht="15.75" customHeight="1">
      <c r="A4" s="242"/>
      <c r="B4" s="221" t="s">
        <v>168</v>
      </c>
      <c r="C4" s="222" t="s">
        <v>225</v>
      </c>
      <c r="D4" s="223">
        <v>3</v>
      </c>
      <c r="E4" s="224" t="s">
        <v>294</v>
      </c>
      <c r="F4" s="243"/>
    </row>
    <row r="5" spans="1:6" ht="15.75" customHeight="1">
      <c r="A5" s="27"/>
      <c r="B5" s="28" t="s">
        <v>315</v>
      </c>
      <c r="C5" s="29" t="s">
        <v>225</v>
      </c>
      <c r="D5" s="30">
        <v>19</v>
      </c>
      <c r="E5" s="31" t="s">
        <v>295</v>
      </c>
      <c r="F5" s="32"/>
    </row>
    <row r="6" spans="1:6" ht="15.75" customHeight="1" thickBot="1">
      <c r="A6" s="33"/>
      <c r="B6" s="33"/>
      <c r="C6" s="29"/>
      <c r="D6" s="30"/>
      <c r="E6" s="34"/>
      <c r="F6" s="34"/>
    </row>
    <row r="7" spans="1:6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</row>
    <row r="8" spans="1:6" ht="15.95" customHeight="1">
      <c r="A8" s="196" t="str">
        <f>IF(Tabel_Totaal_werkzaamheden26[[#This Row],[OMSCHRIJVING]]="","",_xlfn.XLOOKUP(Tabel_Totaal_werkzaamheden26[[#This Row],[OMSCHRIJVING]],Verwijzingsblad!$B$2:$B$186,Verwijzingsblad!$A$2:$A$186,""))</f>
        <v/>
      </c>
      <c r="B8" s="41"/>
      <c r="C8" s="42"/>
      <c r="D8" s="42"/>
      <c r="E8" s="186"/>
      <c r="F8" s="43"/>
    </row>
    <row r="9" spans="1:6" ht="15.95" customHeight="1">
      <c r="A9" s="197" t="str">
        <f>VLOOKUP(Tabel_Totaal_werkzaamheden26[[#This Row],[OMSCHRIJVING]],Blad1!A:C,3,FALSE)</f>
        <v>2.4.13</v>
      </c>
      <c r="B9" s="44" t="s">
        <v>157</v>
      </c>
      <c r="C9" s="45"/>
      <c r="D9" s="46"/>
      <c r="E9" s="187"/>
      <c r="F9" s="47"/>
    </row>
    <row r="10" spans="1:6" ht="15.95" customHeight="1">
      <c r="A10" s="197"/>
      <c r="B10" s="48" t="s">
        <v>158</v>
      </c>
      <c r="C10" s="49" t="s">
        <v>18</v>
      </c>
      <c r="D10" s="50">
        <v>1</v>
      </c>
      <c r="E10" s="187"/>
      <c r="F10" s="51"/>
    </row>
    <row r="11" spans="1:6" ht="15.95" customHeight="1">
      <c r="A11" s="197"/>
      <c r="B11" s="48" t="s">
        <v>232</v>
      </c>
      <c r="C11" s="49" t="s">
        <v>18</v>
      </c>
      <c r="D11" s="50">
        <v>1</v>
      </c>
      <c r="E11" s="187"/>
      <c r="F11" s="51"/>
    </row>
    <row r="12" spans="1:6" ht="15.95" customHeight="1">
      <c r="A12" s="197"/>
      <c r="B12" s="52"/>
      <c r="C12" s="53"/>
      <c r="D12" s="54"/>
      <c r="E12" s="188"/>
      <c r="F12" s="55"/>
    </row>
    <row r="13" spans="1:6" ht="15.95" customHeight="1">
      <c r="A13" s="197" t="str">
        <f>VLOOKUP(Tabel_Totaal_werkzaamheden26[[#This Row],[OMSCHRIJVING]],Blad1!A:C,3,FALSE)</f>
        <v>2.4.15</v>
      </c>
      <c r="B13" s="56" t="s">
        <v>42</v>
      </c>
      <c r="C13" s="57"/>
      <c r="D13" s="58"/>
      <c r="E13" s="189"/>
      <c r="F13" s="59"/>
    </row>
    <row r="14" spans="1:6" ht="15.95" customHeight="1">
      <c r="A14" s="197"/>
      <c r="B14" s="60" t="s">
        <v>226</v>
      </c>
      <c r="C14" s="53" t="s">
        <v>18</v>
      </c>
      <c r="D14" s="54">
        <v>1</v>
      </c>
      <c r="E14" s="188"/>
      <c r="F14" s="55"/>
    </row>
    <row r="15" spans="1:6" ht="15.95" customHeight="1">
      <c r="A15" s="197"/>
      <c r="B15" s="60"/>
      <c r="C15" s="61"/>
      <c r="D15" s="54"/>
      <c r="E15" s="188"/>
      <c r="F15" s="55"/>
    </row>
    <row r="16" spans="1:6" ht="15.95" customHeight="1">
      <c r="A16" s="197" t="str">
        <f>VLOOKUP(Tabel_Totaal_werkzaamheden26[[#This Row],[OMSCHRIJVING]],Blad1!A:C,3,FALSE)</f>
        <v>2.4.18</v>
      </c>
      <c r="B16" s="56" t="s">
        <v>182</v>
      </c>
      <c r="C16" s="61"/>
      <c r="D16" s="54"/>
      <c r="E16" s="188"/>
      <c r="F16" s="55"/>
    </row>
    <row r="17" spans="1:6" ht="15.95" customHeight="1">
      <c r="A17" s="197"/>
      <c r="B17" s="60" t="s">
        <v>233</v>
      </c>
      <c r="C17" s="53" t="s">
        <v>18</v>
      </c>
      <c r="D17" s="54">
        <v>1</v>
      </c>
      <c r="E17" s="188"/>
      <c r="F17" s="55"/>
    </row>
    <row r="18" spans="1:6" ht="15.95" customHeight="1">
      <c r="A18" s="197"/>
      <c r="B18" s="62"/>
      <c r="C18" s="180"/>
      <c r="D18" s="64"/>
      <c r="E18" s="190"/>
      <c r="F18" s="65"/>
    </row>
    <row r="19" spans="1:6" ht="15.95" customHeight="1">
      <c r="A19" s="197" t="str">
        <f>VLOOKUP(Tabel_Totaal_werkzaamheden26[[#This Row],[OMSCHRIJVING]],Blad1!A:C,3,FALSE)</f>
        <v>2.4.17</v>
      </c>
      <c r="B19" s="56" t="s">
        <v>43</v>
      </c>
      <c r="C19" s="61"/>
      <c r="D19" s="54"/>
      <c r="E19" s="188"/>
      <c r="F19" s="55"/>
    </row>
    <row r="20" spans="1:6" ht="15.95" customHeight="1">
      <c r="A20" s="197"/>
      <c r="B20" s="60" t="s">
        <v>35</v>
      </c>
      <c r="C20" s="53" t="s">
        <v>18</v>
      </c>
      <c r="D20" s="54">
        <v>1</v>
      </c>
      <c r="E20" s="188"/>
      <c r="F20" s="55"/>
    </row>
    <row r="21" spans="1:6" ht="15.95" customHeight="1">
      <c r="A21" s="197"/>
      <c r="B21" s="60"/>
      <c r="C21" s="61"/>
      <c r="D21" s="54"/>
      <c r="E21" s="188"/>
      <c r="F21" s="55"/>
    </row>
    <row r="22" spans="1:6" ht="15.95" customHeight="1">
      <c r="A22" s="197" t="str">
        <f>VLOOKUP(Tabel_Totaal_werkzaamheden26[[#This Row],[OMSCHRIJVING]],Blad1!A:C,3,FALSE)</f>
        <v>2.4.21</v>
      </c>
      <c r="B22" s="56" t="s">
        <v>29</v>
      </c>
      <c r="C22" s="61"/>
      <c r="D22" s="54"/>
      <c r="E22" s="188"/>
      <c r="F22" s="55"/>
    </row>
    <row r="23" spans="1:6" ht="15.95" customHeight="1">
      <c r="A23" s="197"/>
      <c r="B23" s="60" t="s">
        <v>17</v>
      </c>
      <c r="C23" s="66" t="s">
        <v>18</v>
      </c>
      <c r="D23" s="54">
        <v>1</v>
      </c>
      <c r="E23" s="188"/>
      <c r="F23" s="55"/>
    </row>
    <row r="24" spans="1:6" ht="15.95" customHeight="1">
      <c r="A24" s="197"/>
      <c r="B24" s="60"/>
      <c r="C24" s="61"/>
      <c r="D24" s="54"/>
      <c r="E24" s="188"/>
      <c r="F24" s="55"/>
    </row>
    <row r="25" spans="1:6" ht="15.95" customHeight="1">
      <c r="A25" s="197" t="str">
        <f>VLOOKUP(Tabel_Totaal_werkzaamheden26[[#This Row],[OMSCHRIJVING]],Blad1!A:C,3,FALSE)</f>
        <v>2.4.22</v>
      </c>
      <c r="B25" s="56" t="s">
        <v>159</v>
      </c>
      <c r="C25" s="61"/>
      <c r="D25" s="54"/>
      <c r="E25" s="188"/>
      <c r="F25" s="55"/>
    </row>
    <row r="26" spans="1:6" ht="15.95" customHeight="1">
      <c r="A26" s="197"/>
      <c r="B26" s="60" t="s">
        <v>36</v>
      </c>
      <c r="C26" s="66" t="s">
        <v>18</v>
      </c>
      <c r="D26" s="54">
        <v>1</v>
      </c>
      <c r="E26" s="188"/>
      <c r="F26" s="55"/>
    </row>
    <row r="27" spans="1:6" ht="15.95" customHeight="1">
      <c r="A27" s="197"/>
      <c r="B27" s="52" t="s">
        <v>19</v>
      </c>
      <c r="C27" s="66" t="s">
        <v>18</v>
      </c>
      <c r="D27" s="54">
        <v>1</v>
      </c>
      <c r="E27" s="188"/>
      <c r="F27" s="55"/>
    </row>
    <row r="28" spans="1:6" ht="15.95" customHeight="1">
      <c r="A28" s="197"/>
      <c r="B28" s="52"/>
      <c r="C28" s="66"/>
      <c r="D28" s="54"/>
      <c r="E28" s="188"/>
      <c r="F28" s="55"/>
    </row>
    <row r="29" spans="1:6" ht="15.95" customHeight="1">
      <c r="A29" s="197" t="str">
        <f>VLOOKUP(Tabel_Totaal_werkzaamheden26[[#This Row],[OMSCHRIJVING]],Blad1!A:C,3,FALSE)</f>
        <v>2.4.23</v>
      </c>
      <c r="B29" s="56" t="s">
        <v>160</v>
      </c>
      <c r="C29" s="66"/>
      <c r="D29" s="54"/>
      <c r="E29" s="188"/>
      <c r="F29" s="55"/>
    </row>
    <row r="30" spans="1:6" ht="15.95" customHeight="1">
      <c r="A30" s="197"/>
      <c r="B30" s="60" t="s">
        <v>37</v>
      </c>
      <c r="C30" s="66" t="s">
        <v>18</v>
      </c>
      <c r="D30" s="54">
        <v>1</v>
      </c>
      <c r="E30" s="188"/>
      <c r="F30" s="55"/>
    </row>
    <row r="31" spans="1:6" ht="15.95" customHeight="1">
      <c r="A31" s="197"/>
      <c r="B31" s="52"/>
      <c r="C31" s="66"/>
      <c r="D31" s="54"/>
      <c r="E31" s="188"/>
      <c r="F31" s="55"/>
    </row>
    <row r="32" spans="1:6" ht="15.95" customHeight="1">
      <c r="A32" s="197" t="str">
        <f>VLOOKUP(Tabel_Totaal_werkzaamheden26[[#This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97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97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97"/>
      <c r="B35" s="52"/>
      <c r="C35" s="66"/>
      <c r="D35" s="54"/>
      <c r="E35" s="188"/>
      <c r="F35" s="55"/>
    </row>
    <row r="36" spans="1:10" ht="15.95" customHeight="1">
      <c r="A36" s="197" t="str">
        <f>VLOOKUP(Tabel_Totaal_werkzaamheden26[[#This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97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97"/>
      <c r="B38" s="52"/>
      <c r="C38" s="66"/>
      <c r="D38" s="54"/>
      <c r="E38" s="188"/>
      <c r="F38" s="55"/>
    </row>
    <row r="39" spans="1:10" ht="15.95" customHeight="1">
      <c r="A39" s="197" t="str">
        <f>VLOOKUP(Tabel_Totaal_werkzaamheden26[[#This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97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97"/>
      <c r="B41" s="68"/>
      <c r="C41" s="66"/>
      <c r="D41" s="54"/>
      <c r="E41" s="188"/>
      <c r="F41" s="55"/>
    </row>
    <row r="42" spans="1:10" ht="15.95" customHeight="1">
      <c r="A42" s="197" t="str">
        <f>VLOOKUP(Tabel_Totaal_werkzaamheden26[[#This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97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97"/>
      <c r="B44" s="52"/>
      <c r="C44" s="66"/>
      <c r="D44" s="54"/>
      <c r="E44" s="188"/>
      <c r="F44" s="55"/>
    </row>
    <row r="45" spans="1:10" ht="15.95" customHeight="1">
      <c r="A45" s="197" t="str">
        <f>VLOOKUP(Tabel_Totaal_werkzaamheden26[[#This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97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97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97"/>
      <c r="B48" s="52"/>
      <c r="C48" s="66"/>
      <c r="D48" s="54"/>
      <c r="E48" s="188"/>
      <c r="F48" s="55"/>
    </row>
    <row r="49" spans="1:10" ht="15.95" customHeight="1">
      <c r="A49" s="197" t="str">
        <f>VLOOKUP(Tabel_Totaal_werkzaamheden26[[#This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97"/>
      <c r="B50" s="52" t="s">
        <v>22</v>
      </c>
      <c r="C50" s="66" t="s">
        <v>18</v>
      </c>
      <c r="D50" s="54">
        <v>1</v>
      </c>
      <c r="E50" s="188"/>
      <c r="F50" s="55"/>
    </row>
    <row r="51" spans="1:10" ht="15.95" customHeight="1">
      <c r="A51" s="197"/>
      <c r="B51" s="52" t="s">
        <v>237</v>
      </c>
      <c r="C51" s="66" t="s">
        <v>26</v>
      </c>
      <c r="D51" s="54">
        <v>18</v>
      </c>
      <c r="E51" s="188"/>
      <c r="F51" s="55"/>
      <c r="I51" s="21"/>
    </row>
    <row r="52" spans="1:10" ht="15.95" customHeight="1">
      <c r="A52" s="197"/>
      <c r="B52" s="52"/>
      <c r="C52" s="66"/>
      <c r="D52" s="54"/>
      <c r="E52" s="188"/>
      <c r="F52" s="55"/>
    </row>
    <row r="53" spans="1:10" ht="15.95" customHeight="1">
      <c r="A53" s="197" t="str">
        <f>VLOOKUP(Tabel_Totaal_werkzaamheden26[[#This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97"/>
      <c r="B54" s="60" t="s">
        <v>545</v>
      </c>
      <c r="C54" s="66" t="s">
        <v>26</v>
      </c>
      <c r="D54" s="54">
        <v>57</v>
      </c>
      <c r="E54" s="188"/>
      <c r="F54" s="55"/>
    </row>
    <row r="55" spans="1:10" ht="15.95" customHeight="1">
      <c r="A55" s="197"/>
      <c r="B55" s="52"/>
      <c r="C55" s="66"/>
      <c r="D55" s="54"/>
      <c r="E55" s="188"/>
      <c r="F55" s="55"/>
    </row>
    <row r="56" spans="1:10" ht="15.95" customHeight="1">
      <c r="A56" s="197" t="str">
        <f>VLOOKUP(Tabel_Totaal_werkzaamheden26[[#This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97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97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97"/>
      <c r="B59" s="19" t="s">
        <v>178</v>
      </c>
      <c r="C59" s="66" t="s">
        <v>24</v>
      </c>
      <c r="D59" s="54">
        <v>38</v>
      </c>
      <c r="E59" s="188"/>
      <c r="F59" s="55"/>
      <c r="I59" s="71"/>
      <c r="J59" s="71"/>
    </row>
    <row r="60" spans="1:10" ht="15.95" customHeight="1">
      <c r="A60" s="197"/>
      <c r="B60" s="52"/>
      <c r="C60" s="66"/>
      <c r="D60" s="54"/>
      <c r="E60" s="188"/>
      <c r="F60" s="55"/>
    </row>
    <row r="61" spans="1:10" ht="15.95" customHeight="1">
      <c r="A61" s="197" t="str">
        <f>VLOOKUP(Tabel_Totaal_werkzaamheden26[[#This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97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97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97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97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97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97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97"/>
      <c r="B68" s="52" t="s">
        <v>547</v>
      </c>
      <c r="C68" s="66" t="s">
        <v>26</v>
      </c>
      <c r="D68" s="54">
        <v>57</v>
      </c>
      <c r="E68" s="188"/>
      <c r="F68" s="55"/>
    </row>
    <row r="69" spans="1:8" ht="15.95" customHeight="1">
      <c r="A69" s="197"/>
      <c r="B69" s="52" t="s">
        <v>27</v>
      </c>
      <c r="C69" s="66" t="s">
        <v>24</v>
      </c>
      <c r="D69" s="54">
        <v>38</v>
      </c>
      <c r="E69" s="188"/>
      <c r="F69" s="55"/>
    </row>
    <row r="70" spans="1:8" ht="15.95" customHeight="1">
      <c r="A70" s="197"/>
      <c r="B70" s="52" t="s">
        <v>318</v>
      </c>
      <c r="C70" s="66" t="s">
        <v>24</v>
      </c>
      <c r="D70" s="54">
        <v>10</v>
      </c>
      <c r="E70" s="188"/>
      <c r="F70" s="55"/>
    </row>
    <row r="71" spans="1:8" ht="15.95" customHeight="1">
      <c r="A71" s="197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97"/>
      <c r="B72" s="52"/>
      <c r="C72" s="66"/>
      <c r="D72" s="54"/>
      <c r="E72" s="188"/>
      <c r="F72" s="55"/>
    </row>
    <row r="73" spans="1:8" ht="15.95" customHeight="1">
      <c r="A73" s="197" t="str">
        <f>VLOOKUP(Tabel_Totaal_werkzaamheden26[[#This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s="164" customFormat="1" ht="25.5">
      <c r="A74" s="227"/>
      <c r="B74" s="164" t="s">
        <v>340</v>
      </c>
      <c r="C74" s="162" t="s">
        <v>26</v>
      </c>
      <c r="D74" s="156">
        <v>18</v>
      </c>
      <c r="E74" s="193"/>
      <c r="F74" s="157"/>
      <c r="G74" s="163"/>
    </row>
    <row r="75" spans="1:8" ht="15.95" customHeight="1">
      <c r="A75" s="197"/>
      <c r="B75" s="52"/>
      <c r="C75" s="66"/>
      <c r="D75" s="54"/>
      <c r="E75" s="188"/>
      <c r="F75" s="55"/>
    </row>
    <row r="76" spans="1:8" ht="15.95" customHeight="1">
      <c r="A76" s="197" t="str">
        <f>VLOOKUP(Tabel_Totaal_werkzaamheden26[[#This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97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97"/>
      <c r="B78" s="52"/>
      <c r="C78" s="66"/>
      <c r="D78" s="54"/>
      <c r="E78" s="188"/>
      <c r="F78" s="55"/>
    </row>
    <row r="79" spans="1:8" ht="15.6" customHeight="1">
      <c r="A79" s="197" t="str">
        <f>VLOOKUP(Tabel_Totaal_werkzaamheden26[[#This Row],[OMSCHRIJVING]],Blad1!A:C,3,FALSE)</f>
        <v>3.9</v>
      </c>
      <c r="B79" s="72" t="s">
        <v>184</v>
      </c>
      <c r="C79" s="73"/>
      <c r="D79" s="54"/>
      <c r="E79" s="188"/>
      <c r="F79" s="55"/>
    </row>
    <row r="80" spans="1:8" s="97" customFormat="1" ht="25.5">
      <c r="A80" s="218" t="s">
        <v>491</v>
      </c>
      <c r="B80" s="74" t="s">
        <v>513</v>
      </c>
      <c r="C80" s="73" t="s">
        <v>18</v>
      </c>
      <c r="D80" s="54">
        <v>1</v>
      </c>
      <c r="E80" s="188"/>
      <c r="F80" s="55"/>
      <c r="G80" s="96"/>
    </row>
    <row r="81" spans="1:7" ht="15.95" customHeight="1">
      <c r="A81" s="197"/>
      <c r="B81" s="52"/>
      <c r="C81" s="66"/>
      <c r="D81" s="54"/>
      <c r="E81" s="188"/>
      <c r="F81" s="55"/>
    </row>
    <row r="82" spans="1:7" ht="15.95" customHeight="1">
      <c r="A82" s="197" t="str">
        <f>VLOOKUP(Tabel_Totaal_werkzaamheden26[[#This Row],[OMSCHRIJVING]],Blad1!A:C,3,FALSE)</f>
        <v>3.10</v>
      </c>
      <c r="B82" s="15" t="s">
        <v>499</v>
      </c>
      <c r="C82" s="66"/>
      <c r="D82" s="54"/>
      <c r="E82" s="188"/>
      <c r="F82" s="55"/>
    </row>
    <row r="83" spans="1:7" ht="15.95" customHeight="1">
      <c r="A83" s="197"/>
      <c r="B83" s="52" t="s">
        <v>230</v>
      </c>
      <c r="C83" s="66" t="s">
        <v>18</v>
      </c>
      <c r="D83" s="54">
        <v>1</v>
      </c>
      <c r="E83" s="188"/>
      <c r="F83" s="55"/>
    </row>
    <row r="84" spans="1:7" ht="15.95" customHeight="1" thickBot="1">
      <c r="A84" s="197" t="str">
        <f>IF(Tabel_Totaal_werkzaamheden26[[#This Row],[OMSCHRIJVING]]="","",_xlfn.XLOOKUP(Tabel_Totaal_werkzaamheden26[[#This Row],[OMSCHRIJVING]],Verwijzingsblad!$B$2:$B$186,Verwijzingsblad!$A$2:$A$186,""))</f>
        <v/>
      </c>
      <c r="B84" s="52"/>
      <c r="C84" s="66"/>
      <c r="D84" s="54"/>
      <c r="E84" s="188"/>
      <c r="F84" s="55"/>
    </row>
    <row r="85" spans="1:7" ht="15.95" customHeight="1" thickTop="1">
      <c r="A85" s="230" t="s">
        <v>155</v>
      </c>
      <c r="B85" s="231"/>
      <c r="C85" s="232"/>
      <c r="D85" s="233" t="str">
        <f>B3</f>
        <v>Brug Smidsslop</v>
      </c>
      <c r="E85" s="234" t="str">
        <f>A3</f>
        <v>CEN-02</v>
      </c>
      <c r="F85" s="235">
        <f>SUBTOTAL(109,Tabel_Totaal_werkzaamheden26[TOTAALBEDRAG IN EURO])</f>
        <v>0</v>
      </c>
      <c r="G85" s="75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A92" s="15"/>
      <c r="B92" s="52"/>
      <c r="C92" s="52"/>
      <c r="D92" s="76"/>
      <c r="E92" s="191"/>
      <c r="F92" s="77"/>
    </row>
    <row r="93" spans="1:7" ht="15.95" customHeight="1">
      <c r="A93" s="15"/>
      <c r="B93" s="52"/>
      <c r="C93" s="52"/>
      <c r="D93" s="76"/>
      <c r="E93" s="191"/>
      <c r="F93" s="77"/>
    </row>
    <row r="94" spans="1:7" ht="15.95" customHeight="1">
      <c r="A94" s="15"/>
      <c r="B94" s="52"/>
      <c r="C94" s="52"/>
      <c r="D94" s="76"/>
      <c r="E94" s="191"/>
      <c r="F94" s="77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6" ht="15.95" customHeight="1">
      <c r="A1" s="261" t="s">
        <v>41</v>
      </c>
      <c r="B1" s="262"/>
      <c r="C1" s="262"/>
      <c r="D1" s="262"/>
      <c r="E1" s="262"/>
      <c r="F1" s="262"/>
    </row>
    <row r="2" spans="1:6" ht="15.95" customHeight="1" thickBot="1">
      <c r="A2" s="263"/>
      <c r="B2" s="264"/>
      <c r="C2" s="264"/>
      <c r="D2" s="264"/>
      <c r="E2" s="264"/>
      <c r="F2" s="264"/>
    </row>
    <row r="3" spans="1:6" ht="15.75" customHeight="1" thickBot="1">
      <c r="A3" s="22" t="s">
        <v>52</v>
      </c>
      <c r="B3" s="23" t="s">
        <v>53</v>
      </c>
      <c r="C3" s="24"/>
      <c r="D3" s="24"/>
      <c r="E3" s="25"/>
      <c r="F3" s="26"/>
    </row>
    <row r="4" spans="1:6" ht="15.75" customHeight="1">
      <c r="A4" s="27"/>
      <c r="B4" s="28" t="s">
        <v>168</v>
      </c>
      <c r="C4" s="29" t="s">
        <v>225</v>
      </c>
      <c r="D4" s="30">
        <v>1.6</v>
      </c>
      <c r="E4" s="31" t="s">
        <v>246</v>
      </c>
      <c r="F4" s="32"/>
    </row>
    <row r="5" spans="1:6" ht="15.75" customHeight="1">
      <c r="A5" s="27"/>
      <c r="B5" s="28" t="s">
        <v>315</v>
      </c>
      <c r="C5" s="29" t="s">
        <v>225</v>
      </c>
      <c r="D5" s="30">
        <v>8.5</v>
      </c>
      <c r="E5" s="31" t="s">
        <v>293</v>
      </c>
      <c r="F5" s="32"/>
    </row>
    <row r="6" spans="1:6" ht="15.75" customHeight="1" thickBot="1">
      <c r="A6" s="33"/>
      <c r="B6" s="33"/>
      <c r="C6" s="29"/>
      <c r="D6" s="30"/>
      <c r="E6" s="34"/>
      <c r="F6" s="34"/>
    </row>
    <row r="7" spans="1:6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</row>
    <row r="8" spans="1:6" ht="15.95" customHeight="1">
      <c r="A8" s="153" t="str">
        <f>IF(Tabel_Totaal_werkzaamheden267[[#This Row],[OMSCHRIJVING]]="","",_xlfn.XLOOKUP(Tabel_Totaal_werkzaamheden267[[#This Row],[OMSCHRIJVING]],Verwijzingsblad!$B$2:$B$186,Verwijzingsblad!$A$2:$A$186,""))</f>
        <v/>
      </c>
      <c r="B8" s="41"/>
      <c r="C8" s="42"/>
      <c r="D8" s="42"/>
      <c r="E8" s="186"/>
      <c r="F8" s="43"/>
    </row>
    <row r="9" spans="1:6" ht="15.95" customHeight="1">
      <c r="A9" s="1" t="str">
        <f>VLOOKUP(Tabel_Totaal_werkzaamheden267[[#This Row],[OMSCHRIJVING]],Blad1!A:C,3,FALSE)</f>
        <v>2.4.13</v>
      </c>
      <c r="B9" s="44" t="s">
        <v>157</v>
      </c>
      <c r="C9" s="45"/>
      <c r="D9" s="46"/>
      <c r="E9" s="187"/>
      <c r="F9" s="47"/>
    </row>
    <row r="10" spans="1:6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</row>
    <row r="11" spans="1:6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</row>
    <row r="12" spans="1:6" ht="15.95" customHeight="1">
      <c r="A12" s="1"/>
      <c r="B12" s="52"/>
      <c r="C12" s="53"/>
      <c r="D12" s="254"/>
      <c r="E12" s="188"/>
      <c r="F12" s="55"/>
    </row>
    <row r="13" spans="1:6" ht="15.95" customHeight="1">
      <c r="A13" s="1" t="str">
        <f>VLOOKUP(Tabel_Totaal_werkzaamheden267[[#This Row],[OMSCHRIJVING]],Blad1!A:C,3,FALSE)</f>
        <v>2.4.15</v>
      </c>
      <c r="B13" s="56" t="s">
        <v>42</v>
      </c>
      <c r="C13" s="57"/>
      <c r="D13" s="255"/>
      <c r="E13" s="189"/>
      <c r="F13" s="59"/>
    </row>
    <row r="14" spans="1:6" ht="15.95" customHeight="1">
      <c r="A14" s="1"/>
      <c r="B14" s="60" t="s">
        <v>226</v>
      </c>
      <c r="C14" s="53" t="s">
        <v>18</v>
      </c>
      <c r="D14" s="254">
        <v>1</v>
      </c>
      <c r="E14" s="188"/>
      <c r="F14" s="55"/>
    </row>
    <row r="15" spans="1:6" ht="15.95" customHeight="1">
      <c r="A15" s="1"/>
      <c r="B15" s="60"/>
      <c r="C15" s="61"/>
      <c r="D15" s="254"/>
      <c r="E15" s="188"/>
      <c r="F15" s="55"/>
    </row>
    <row r="16" spans="1:6" ht="15.95" customHeight="1">
      <c r="A16" s="1" t="str">
        <f>VLOOKUP(Tabel_Totaal_werkzaamheden267[[#This Row],[OMSCHRIJVING]],Blad1!A:C,3,FALSE)</f>
        <v>2.4.17</v>
      </c>
      <c r="B16" s="56" t="s">
        <v>43</v>
      </c>
      <c r="C16" s="61"/>
      <c r="D16" s="254"/>
      <c r="E16" s="188"/>
      <c r="F16" s="55"/>
    </row>
    <row r="17" spans="1:6" ht="15.95" customHeight="1">
      <c r="A17" s="1"/>
      <c r="B17" s="60" t="s">
        <v>35</v>
      </c>
      <c r="C17" s="53" t="s">
        <v>18</v>
      </c>
      <c r="D17" s="254">
        <v>1</v>
      </c>
      <c r="E17" s="188"/>
      <c r="F17" s="55"/>
    </row>
    <row r="18" spans="1:6" ht="15.95" customHeight="1">
      <c r="A18" s="1"/>
      <c r="B18" s="60"/>
      <c r="C18" s="61"/>
      <c r="D18" s="254"/>
      <c r="E18" s="188"/>
      <c r="F18" s="55"/>
    </row>
    <row r="19" spans="1:6" ht="15.95" customHeight="1">
      <c r="A19" s="1" t="str">
        <f>VLOOKUP(Tabel_Totaal_werkzaamheden267[[#This Row],[OMSCHRIJVING]],Blad1!A:C,3,FALSE)</f>
        <v>2.4.21</v>
      </c>
      <c r="B19" s="56" t="s">
        <v>29</v>
      </c>
      <c r="C19" s="61"/>
      <c r="D19" s="254"/>
      <c r="E19" s="188"/>
      <c r="F19" s="55"/>
    </row>
    <row r="20" spans="1:6" ht="15.95" customHeight="1">
      <c r="A20" s="1"/>
      <c r="B20" s="60" t="s">
        <v>17</v>
      </c>
      <c r="C20" s="66" t="s">
        <v>18</v>
      </c>
      <c r="D20" s="254">
        <v>1</v>
      </c>
      <c r="E20" s="188"/>
      <c r="F20" s="55"/>
    </row>
    <row r="21" spans="1:6" ht="15.95" customHeight="1">
      <c r="A21" s="1"/>
      <c r="B21" s="60"/>
      <c r="C21" s="61"/>
      <c r="D21" s="254"/>
      <c r="E21" s="188"/>
      <c r="F21" s="55"/>
    </row>
    <row r="22" spans="1:6" ht="15.95" customHeight="1">
      <c r="A22" s="1" t="str">
        <f>VLOOKUP(Tabel_Totaal_werkzaamheden267[[#This Row],[OMSCHRIJVING]],Blad1!A:C,3,FALSE)</f>
        <v>2.4.22</v>
      </c>
      <c r="B22" s="56" t="s">
        <v>159</v>
      </c>
      <c r="C22" s="61"/>
      <c r="D22" s="254"/>
      <c r="E22" s="188"/>
      <c r="F22" s="55"/>
    </row>
    <row r="23" spans="1:6" ht="15.95" customHeight="1">
      <c r="A23" s="1"/>
      <c r="B23" s="60" t="s">
        <v>36</v>
      </c>
      <c r="C23" s="66" t="s">
        <v>18</v>
      </c>
      <c r="D23" s="254">
        <v>1</v>
      </c>
      <c r="E23" s="188"/>
      <c r="F23" s="55"/>
    </row>
    <row r="24" spans="1:6" ht="15.95" customHeight="1">
      <c r="A24" s="1"/>
      <c r="B24" s="52" t="s">
        <v>19</v>
      </c>
      <c r="C24" s="66" t="s">
        <v>18</v>
      </c>
      <c r="D24" s="254">
        <v>1</v>
      </c>
      <c r="E24" s="188"/>
      <c r="F24" s="55"/>
    </row>
    <row r="25" spans="1:6" ht="15.95" customHeight="1">
      <c r="A25" s="1"/>
      <c r="B25" s="52"/>
      <c r="C25" s="66"/>
      <c r="D25" s="254"/>
      <c r="E25" s="188"/>
      <c r="F25" s="55"/>
    </row>
    <row r="26" spans="1:6" ht="15.95" customHeight="1">
      <c r="A26" s="1" t="str">
        <f>VLOOKUP(Tabel_Totaal_werkzaamheden267[[#This Row],[OMSCHRIJVING]],Blad1!A:C,3,FALSE)</f>
        <v>2.4.23</v>
      </c>
      <c r="B26" s="56" t="s">
        <v>160</v>
      </c>
      <c r="C26" s="66"/>
      <c r="D26" s="254"/>
      <c r="E26" s="188"/>
      <c r="F26" s="55"/>
    </row>
    <row r="27" spans="1:6" ht="15.95" customHeight="1">
      <c r="A27" s="1"/>
      <c r="B27" s="60" t="s">
        <v>37</v>
      </c>
      <c r="C27" s="66" t="s">
        <v>18</v>
      </c>
      <c r="D27" s="254">
        <v>1</v>
      </c>
      <c r="E27" s="188"/>
      <c r="F27" s="55"/>
    </row>
    <row r="28" spans="1:6" ht="15.95" customHeight="1">
      <c r="A28" s="1"/>
      <c r="B28" s="52"/>
      <c r="C28" s="66"/>
      <c r="D28" s="254"/>
      <c r="E28" s="188"/>
      <c r="F28" s="55"/>
    </row>
    <row r="29" spans="1:6" ht="15.95" customHeight="1">
      <c r="A29" s="1" t="str">
        <f>VLOOKUP(Tabel_Totaal_werkzaamheden267[[#This Row],[OMSCHRIJVING]],Blad1!A:C,3,FALSE)</f>
        <v>2.4.30</v>
      </c>
      <c r="B29" s="15" t="s">
        <v>394</v>
      </c>
      <c r="C29" s="66"/>
      <c r="D29" s="254"/>
      <c r="E29" s="188"/>
      <c r="F29" s="55"/>
    </row>
    <row r="30" spans="1:6" ht="15.95" customHeight="1">
      <c r="A30" s="1"/>
      <c r="B30" s="52" t="s">
        <v>229</v>
      </c>
      <c r="C30" s="66" t="s">
        <v>18</v>
      </c>
      <c r="D30" s="254">
        <v>1</v>
      </c>
      <c r="E30" s="188"/>
      <c r="F30" s="55"/>
    </row>
    <row r="31" spans="1:6" ht="15.95" customHeight="1">
      <c r="A31" s="1"/>
      <c r="B31" s="52" t="s">
        <v>20</v>
      </c>
      <c r="C31" s="66" t="s">
        <v>18</v>
      </c>
      <c r="D31" s="254">
        <v>1</v>
      </c>
      <c r="E31" s="188"/>
      <c r="F31" s="55"/>
    </row>
    <row r="32" spans="1:6" ht="15.95" customHeight="1">
      <c r="A32" s="1"/>
      <c r="B32" s="52"/>
      <c r="C32" s="66"/>
      <c r="D32" s="254"/>
      <c r="E32" s="188"/>
      <c r="F32" s="55"/>
    </row>
    <row r="33" spans="1:10" ht="15.95" customHeight="1">
      <c r="A33" s="1" t="str">
        <f>VLOOKUP(Tabel_Totaal_werkzaamheden267[[#This Row],[OMSCHRIJVING]],Blad1!A:C,3,FALSE)</f>
        <v>2.4.31</v>
      </c>
      <c r="B33" s="56" t="s">
        <v>396</v>
      </c>
      <c r="C33" s="66"/>
      <c r="D33" s="254"/>
      <c r="E33" s="188"/>
      <c r="F33" s="55"/>
    </row>
    <row r="34" spans="1:10" ht="15.95" customHeight="1">
      <c r="A34" s="1"/>
      <c r="B34" s="52" t="s">
        <v>21</v>
      </c>
      <c r="C34" s="66" t="s">
        <v>18</v>
      </c>
      <c r="D34" s="254">
        <v>1</v>
      </c>
      <c r="E34" s="188"/>
      <c r="F34" s="55"/>
    </row>
    <row r="35" spans="1:10" ht="15.95" customHeight="1">
      <c r="A35" s="1"/>
      <c r="B35" s="52"/>
      <c r="C35" s="66"/>
      <c r="D35" s="254"/>
      <c r="E35" s="188"/>
      <c r="F35" s="55"/>
    </row>
    <row r="36" spans="1:10" ht="15.95" customHeight="1">
      <c r="A36" s="1" t="str">
        <f>VLOOKUP(Tabel_Totaal_werkzaamheden267[[#This Row],[OMSCHRIJVING]],Blad1!A:C,3,FALSE)</f>
        <v>2.4.34</v>
      </c>
      <c r="B36" s="15" t="s">
        <v>161</v>
      </c>
      <c r="C36" s="66"/>
      <c r="D36" s="254"/>
      <c r="E36" s="188"/>
      <c r="F36" s="55"/>
    </row>
    <row r="37" spans="1:10" ht="15.95" customHeight="1">
      <c r="A37" s="1"/>
      <c r="B37" s="60" t="s">
        <v>39</v>
      </c>
      <c r="C37" s="66" t="s">
        <v>18</v>
      </c>
      <c r="D37" s="254">
        <v>1</v>
      </c>
      <c r="E37" s="188"/>
      <c r="F37" s="55"/>
      <c r="G37" s="67"/>
    </row>
    <row r="38" spans="1:10" ht="15.95" customHeight="1">
      <c r="A38" s="1"/>
      <c r="B38" s="68"/>
      <c r="C38" s="66"/>
      <c r="D38" s="254"/>
      <c r="E38" s="188"/>
      <c r="F38" s="55"/>
    </row>
    <row r="39" spans="1:10" ht="15.95" customHeight="1">
      <c r="A39" s="1" t="str">
        <f>VLOOKUP(Tabel_Totaal_werkzaamheden267[[#This Row],[OMSCHRIJVING]],Blad1!A:C,3,FALSE)</f>
        <v>2.5.3</v>
      </c>
      <c r="B39" s="15" t="s">
        <v>227</v>
      </c>
      <c r="C39" s="66"/>
      <c r="D39" s="254"/>
      <c r="E39" s="188"/>
      <c r="F39" s="55"/>
    </row>
    <row r="40" spans="1:10" ht="15.95" customHeight="1">
      <c r="A40" s="1"/>
      <c r="B40" s="68" t="s">
        <v>38</v>
      </c>
      <c r="C40" s="66" t="s">
        <v>18</v>
      </c>
      <c r="D40" s="254">
        <v>1</v>
      </c>
      <c r="E40" s="188"/>
      <c r="F40" s="55"/>
      <c r="J40" s="69"/>
    </row>
    <row r="41" spans="1:10" ht="15.95" customHeight="1">
      <c r="A41" s="1"/>
      <c r="B41" s="52"/>
      <c r="C41" s="66"/>
      <c r="D41" s="254"/>
      <c r="E41" s="188"/>
      <c r="F41" s="55"/>
    </row>
    <row r="42" spans="1:10" ht="15.95" customHeight="1">
      <c r="A42" s="1" t="str">
        <f>VLOOKUP(Tabel_Totaal_werkzaamheden267[[#This Row],[OMSCHRIJVING]],Blad1!A:C,3,FALSE)</f>
        <v>3.1</v>
      </c>
      <c r="B42" s="15" t="s">
        <v>180</v>
      </c>
      <c r="C42" s="66"/>
      <c r="D42" s="254"/>
      <c r="E42" s="188"/>
      <c r="F42" s="55"/>
    </row>
    <row r="43" spans="1:10" ht="15.95" customHeight="1">
      <c r="A43" s="1"/>
      <c r="B43" s="60" t="s">
        <v>234</v>
      </c>
      <c r="C43" s="66" t="s">
        <v>18</v>
      </c>
      <c r="D43" s="254">
        <v>1</v>
      </c>
      <c r="E43" s="188"/>
      <c r="F43" s="55"/>
    </row>
    <row r="44" spans="1:10" ht="15.95" customHeight="1">
      <c r="A44" s="1"/>
      <c r="B44" s="60" t="s">
        <v>166</v>
      </c>
      <c r="C44" s="66" t="s">
        <v>18</v>
      </c>
      <c r="D44" s="254">
        <v>1</v>
      </c>
      <c r="E44" s="188"/>
      <c r="F44" s="55"/>
    </row>
    <row r="45" spans="1:10" ht="15.95" customHeight="1">
      <c r="A45" s="1"/>
      <c r="B45" s="52"/>
      <c r="C45" s="66"/>
      <c r="D45" s="254"/>
      <c r="E45" s="188"/>
      <c r="F45" s="55"/>
    </row>
    <row r="46" spans="1:10" ht="15.95" customHeight="1">
      <c r="A46" s="1" t="str">
        <f>VLOOKUP(Tabel_Totaal_werkzaamheden267[[#This Row],[OMSCHRIJVING]],Blad1!A:C,3,FALSE)</f>
        <v>3.3</v>
      </c>
      <c r="B46" s="15" t="s">
        <v>457</v>
      </c>
      <c r="C46" s="66"/>
      <c r="D46" s="254"/>
      <c r="E46" s="188"/>
      <c r="F46" s="55"/>
    </row>
    <row r="47" spans="1:10" ht="15.95" customHeight="1">
      <c r="A47" s="1"/>
      <c r="B47" s="52" t="s">
        <v>22</v>
      </c>
      <c r="C47" s="66" t="s">
        <v>18</v>
      </c>
      <c r="D47" s="254">
        <v>1</v>
      </c>
      <c r="E47" s="188"/>
      <c r="F47" s="55"/>
    </row>
    <row r="48" spans="1:10" ht="15.95" customHeight="1">
      <c r="A48" s="1"/>
      <c r="B48" s="52" t="s">
        <v>349</v>
      </c>
      <c r="C48" s="66" t="s">
        <v>26</v>
      </c>
      <c r="D48" s="254">
        <v>10</v>
      </c>
      <c r="E48" s="188"/>
      <c r="F48" s="55"/>
      <c r="I48" s="21"/>
    </row>
    <row r="49" spans="1:10" ht="15.95" customHeight="1">
      <c r="A49" s="1"/>
      <c r="B49" s="52"/>
      <c r="C49" s="66"/>
      <c r="D49" s="254"/>
      <c r="E49" s="188"/>
      <c r="F49" s="55"/>
    </row>
    <row r="50" spans="1:10" ht="15.95" customHeight="1">
      <c r="A50" s="1" t="str">
        <f>VLOOKUP(Tabel_Totaal_werkzaamheden267[[#This Row],[OMSCHRIJVING]],Blad1!A:C,3,FALSE)</f>
        <v>3.4</v>
      </c>
      <c r="B50" s="70" t="s">
        <v>543</v>
      </c>
      <c r="C50" s="66"/>
      <c r="D50" s="254"/>
      <c r="E50" s="188"/>
      <c r="F50" s="55"/>
    </row>
    <row r="51" spans="1:10" ht="15.95" customHeight="1">
      <c r="A51" s="1"/>
      <c r="B51" s="60" t="s">
        <v>545</v>
      </c>
      <c r="C51" s="66" t="s">
        <v>26</v>
      </c>
      <c r="D51" s="254">
        <v>14</v>
      </c>
      <c r="E51" s="188"/>
      <c r="F51" s="55"/>
    </row>
    <row r="52" spans="1:10" ht="15.95" customHeight="1">
      <c r="A52" s="1"/>
      <c r="B52" s="52"/>
      <c r="C52" s="66"/>
      <c r="D52" s="254"/>
      <c r="E52" s="188"/>
      <c r="F52" s="55"/>
    </row>
    <row r="53" spans="1:10" ht="15.95" customHeight="1">
      <c r="A53" s="1" t="str">
        <f>VLOOKUP(Tabel_Totaal_werkzaamheden267[[#This Row],[OMSCHRIJVING]],Blad1!A:C,3,FALSE)</f>
        <v>3.5</v>
      </c>
      <c r="B53" s="70" t="s">
        <v>169</v>
      </c>
      <c r="C53" s="66"/>
      <c r="D53" s="254"/>
      <c r="E53" s="188"/>
      <c r="F53" s="55"/>
    </row>
    <row r="54" spans="1:10" ht="15.95" customHeight="1">
      <c r="A54" s="1"/>
      <c r="B54" s="19" t="s">
        <v>179</v>
      </c>
      <c r="C54" s="66" t="s">
        <v>18</v>
      </c>
      <c r="D54" s="254">
        <v>1</v>
      </c>
      <c r="E54" s="188"/>
      <c r="F54" s="55"/>
    </row>
    <row r="55" spans="1:10" ht="15.95" customHeight="1">
      <c r="A55" s="1"/>
      <c r="B55" s="19" t="s">
        <v>170</v>
      </c>
      <c r="C55" s="66" t="s">
        <v>18</v>
      </c>
      <c r="D55" s="254">
        <v>1</v>
      </c>
      <c r="E55" s="188"/>
      <c r="F55" s="55"/>
    </row>
    <row r="56" spans="1:10" ht="15.95" customHeight="1">
      <c r="A56" s="1"/>
      <c r="B56" s="19" t="s">
        <v>178</v>
      </c>
      <c r="C56" s="66" t="s">
        <v>24</v>
      </c>
      <c r="D56" s="254">
        <v>17</v>
      </c>
      <c r="E56" s="188"/>
      <c r="F56" s="55"/>
      <c r="I56" s="71"/>
      <c r="J56" s="71"/>
    </row>
    <row r="57" spans="1:10" ht="15.95" customHeight="1">
      <c r="A57" s="1"/>
      <c r="B57" s="52"/>
      <c r="C57" s="66"/>
      <c r="D57" s="254"/>
      <c r="E57" s="188"/>
      <c r="F57" s="55"/>
    </row>
    <row r="58" spans="1:10" ht="15.95" customHeight="1">
      <c r="A58" s="1" t="str">
        <f>VLOOKUP(Tabel_Totaal_werkzaamheden267[[#This Row],[OMSCHRIJVING]],Blad1!A:C,3,FALSE)</f>
        <v>3.6</v>
      </c>
      <c r="B58" s="15" t="s">
        <v>472</v>
      </c>
      <c r="C58" s="66"/>
      <c r="D58" s="254"/>
      <c r="E58" s="188"/>
      <c r="F58" s="55"/>
    </row>
    <row r="59" spans="1:10" ht="15.95" customHeight="1">
      <c r="A59" s="1"/>
      <c r="B59" s="52" t="s">
        <v>186</v>
      </c>
      <c r="C59" s="66" t="s">
        <v>18</v>
      </c>
      <c r="D59" s="254">
        <v>1</v>
      </c>
      <c r="E59" s="188"/>
      <c r="F59" s="55"/>
      <c r="G59" s="67"/>
    </row>
    <row r="60" spans="1:10" ht="15.95" customHeight="1">
      <c r="A60" s="1"/>
      <c r="B60" s="52" t="s">
        <v>167</v>
      </c>
      <c r="C60" s="66" t="s">
        <v>18</v>
      </c>
      <c r="D60" s="254">
        <v>1</v>
      </c>
      <c r="E60" s="188"/>
      <c r="F60" s="55"/>
    </row>
    <row r="61" spans="1:10" ht="15.95" customHeight="1">
      <c r="A61" s="1"/>
      <c r="B61" s="60" t="s">
        <v>172</v>
      </c>
      <c r="C61" s="66" t="s">
        <v>18</v>
      </c>
      <c r="D61" s="254">
        <v>1</v>
      </c>
      <c r="E61" s="188"/>
      <c r="F61" s="55"/>
    </row>
    <row r="62" spans="1:10" ht="15.95" customHeight="1">
      <c r="A62" s="1"/>
      <c r="B62" s="52" t="s">
        <v>23</v>
      </c>
      <c r="C62" s="66" t="s">
        <v>18</v>
      </c>
      <c r="D62" s="254">
        <v>1</v>
      </c>
      <c r="E62" s="188"/>
      <c r="F62" s="55"/>
    </row>
    <row r="63" spans="1:10" ht="15.95" customHeight="1">
      <c r="A63" s="1"/>
      <c r="B63" s="52" t="s">
        <v>25</v>
      </c>
      <c r="C63" s="66" t="s">
        <v>18</v>
      </c>
      <c r="D63" s="254">
        <v>1</v>
      </c>
      <c r="E63" s="188"/>
      <c r="F63" s="55"/>
    </row>
    <row r="64" spans="1:10" ht="15.95" customHeight="1">
      <c r="A64" s="1"/>
      <c r="B64" s="52" t="s">
        <v>185</v>
      </c>
      <c r="C64" s="66" t="s">
        <v>18</v>
      </c>
      <c r="D64" s="254">
        <v>1</v>
      </c>
      <c r="E64" s="188"/>
      <c r="F64" s="55"/>
      <c r="H64" s="21"/>
    </row>
    <row r="65" spans="1:7" ht="15.95" customHeight="1">
      <c r="A65" s="1"/>
      <c r="B65" s="52" t="s">
        <v>542</v>
      </c>
      <c r="C65" s="66" t="s">
        <v>26</v>
      </c>
      <c r="D65" s="254">
        <v>14</v>
      </c>
      <c r="E65" s="188"/>
      <c r="F65" s="55"/>
    </row>
    <row r="66" spans="1:7" ht="15.95" customHeight="1">
      <c r="A66" s="1"/>
      <c r="B66" s="52" t="s">
        <v>27</v>
      </c>
      <c r="C66" s="66" t="s">
        <v>24</v>
      </c>
      <c r="D66" s="254">
        <v>17</v>
      </c>
      <c r="E66" s="188"/>
      <c r="F66" s="55"/>
    </row>
    <row r="67" spans="1:7" ht="15.95" customHeight="1">
      <c r="A67" s="1"/>
      <c r="B67" s="52" t="s">
        <v>181</v>
      </c>
      <c r="C67" s="66" t="s">
        <v>24</v>
      </c>
      <c r="D67" s="254">
        <v>12</v>
      </c>
      <c r="E67" s="188"/>
      <c r="F67" s="55"/>
    </row>
    <row r="68" spans="1:7" ht="15.95" customHeight="1">
      <c r="A68" s="1"/>
      <c r="B68" s="52" t="s">
        <v>171</v>
      </c>
      <c r="C68" s="66" t="s">
        <v>18</v>
      </c>
      <c r="D68" s="254">
        <v>1</v>
      </c>
      <c r="E68" s="188"/>
      <c r="F68" s="55"/>
    </row>
    <row r="69" spans="1:7" ht="15.95" customHeight="1">
      <c r="A69" s="1"/>
      <c r="B69" s="52"/>
      <c r="C69" s="66"/>
      <c r="D69" s="254"/>
      <c r="E69" s="188"/>
      <c r="F69" s="55"/>
    </row>
    <row r="70" spans="1:7" ht="15.95" customHeight="1">
      <c r="A70" s="1" t="str">
        <f>VLOOKUP(Tabel_Totaal_werkzaamheden267[[#This Row],[OMSCHRIJVING]],Blad1!A:C,3,FALSE)</f>
        <v>3.7</v>
      </c>
      <c r="B70" s="70" t="s">
        <v>174</v>
      </c>
      <c r="C70" s="66"/>
      <c r="D70" s="254"/>
      <c r="E70" s="188"/>
      <c r="F70" s="55"/>
    </row>
    <row r="71" spans="1:7" s="164" customFormat="1" ht="25.5">
      <c r="A71" s="1"/>
      <c r="B71" s="164" t="s">
        <v>343</v>
      </c>
      <c r="C71" s="162" t="s">
        <v>26</v>
      </c>
      <c r="D71" s="254">
        <v>10</v>
      </c>
      <c r="E71" s="193"/>
      <c r="F71" s="157"/>
      <c r="G71" s="163"/>
    </row>
    <row r="72" spans="1:7" ht="15.95" customHeight="1">
      <c r="A72" s="1"/>
      <c r="B72" s="52"/>
      <c r="C72" s="66"/>
      <c r="D72" s="254"/>
      <c r="E72" s="188"/>
      <c r="F72" s="55"/>
    </row>
    <row r="73" spans="1:7" ht="15.95" customHeight="1">
      <c r="A73" s="1" t="str">
        <f>VLOOKUP(Tabel_Totaal_werkzaamheden267[[#This Row],[OMSCHRIJVING]],Blad1!A:C,3,FALSE)</f>
        <v>3.8</v>
      </c>
      <c r="B73" s="72" t="s">
        <v>231</v>
      </c>
      <c r="C73" s="73"/>
      <c r="D73" s="254"/>
      <c r="E73" s="188"/>
      <c r="F73" s="55"/>
    </row>
    <row r="74" spans="1:7" ht="15.95" customHeight="1">
      <c r="A74" s="1"/>
      <c r="B74" s="74" t="s">
        <v>28</v>
      </c>
      <c r="C74" s="73" t="s">
        <v>18</v>
      </c>
      <c r="D74" s="254">
        <v>1</v>
      </c>
      <c r="E74" s="188"/>
      <c r="F74" s="55"/>
    </row>
    <row r="75" spans="1:7" ht="15.95" customHeight="1">
      <c r="A75" s="1"/>
      <c r="B75" s="52"/>
      <c r="C75" s="66"/>
      <c r="D75" s="254"/>
      <c r="E75" s="188"/>
      <c r="F75" s="55"/>
    </row>
    <row r="76" spans="1:7" ht="15.95" customHeight="1">
      <c r="A76" s="1" t="str">
        <f>VLOOKUP(Tabel_Totaal_werkzaamheden267[[#This Row],[OMSCHRIJVING]],Blad1!A:C,3,FALSE)</f>
        <v>3.10</v>
      </c>
      <c r="B76" s="15" t="s">
        <v>499</v>
      </c>
      <c r="C76" s="66"/>
      <c r="D76" s="254"/>
      <c r="E76" s="188"/>
      <c r="F76" s="55"/>
    </row>
    <row r="77" spans="1:7" ht="15.95" customHeight="1">
      <c r="A77" s="1"/>
      <c r="B77" s="52" t="s">
        <v>230</v>
      </c>
      <c r="C77" s="66" t="s">
        <v>18</v>
      </c>
      <c r="D77" s="254">
        <v>1</v>
      </c>
      <c r="E77" s="188"/>
      <c r="F77" s="55"/>
    </row>
    <row r="78" spans="1:7" ht="15.95" customHeight="1">
      <c r="A78" s="1" t="str">
        <f>IF(Tabel_Totaal_werkzaamheden267[[#This Row],[OMSCHRIJVING]]="","",_xlfn.XLOOKUP(Tabel_Totaal_werkzaamheden267[[#This Row],[OMSCHRIJVING]],Verwijzingsblad!$B$2:$B$186,Verwijzingsblad!$A$2:$A$186,""))</f>
        <v/>
      </c>
      <c r="B78" s="52"/>
      <c r="C78" s="66"/>
      <c r="D78" s="54"/>
      <c r="E78" s="188"/>
      <c r="F78" s="55"/>
    </row>
    <row r="79" spans="1:7" ht="15.95" customHeight="1">
      <c r="A79" s="211" t="s">
        <v>155</v>
      </c>
      <c r="B79" s="212"/>
      <c r="C79" s="213"/>
      <c r="D79" s="214" t="str">
        <f>B3</f>
        <v>Brug 1 Vlinderveen</v>
      </c>
      <c r="E79" s="215" t="str">
        <f>A3</f>
        <v>EEK-02</v>
      </c>
      <c r="F79" s="216">
        <f>SUBTOTAL(109,Tabel_Totaal_werkzaamheden267[TOTAALBEDRAG IN EURO])</f>
        <v>0</v>
      </c>
      <c r="G79" s="75"/>
    </row>
    <row r="80" spans="1:7" ht="15.95" customHeight="1">
      <c r="A80" s="15"/>
      <c r="B80" s="52"/>
      <c r="C80" s="52"/>
      <c r="D80" s="76"/>
      <c r="E80" s="191"/>
      <c r="F80" s="77"/>
    </row>
    <row r="81" spans="1:6" ht="15.95" customHeight="1">
      <c r="A81" s="15"/>
      <c r="B81" s="52"/>
      <c r="C81" s="52"/>
      <c r="D81" s="76"/>
      <c r="E81" s="191"/>
      <c r="F81" s="77"/>
    </row>
    <row r="82" spans="1:6" ht="15.95" customHeight="1">
      <c r="A82" s="15"/>
      <c r="B82" s="52"/>
      <c r="C82" s="52"/>
      <c r="D82" s="76"/>
      <c r="E82" s="191"/>
      <c r="F82" s="77"/>
    </row>
    <row r="83" spans="1:6" ht="15.95" customHeight="1">
      <c r="A83" s="15"/>
      <c r="B83" s="52"/>
      <c r="C83" s="52"/>
      <c r="D83" s="76"/>
      <c r="E83" s="191"/>
      <c r="F83" s="77"/>
    </row>
    <row r="84" spans="1:6" ht="15.95" customHeight="1">
      <c r="A84" s="15"/>
      <c r="B84" s="52"/>
      <c r="C84" s="52"/>
      <c r="D84" s="76"/>
      <c r="E84" s="191"/>
      <c r="F84" s="77"/>
    </row>
    <row r="85" spans="1:6" ht="15.95" customHeight="1">
      <c r="A85" s="15"/>
      <c r="B85" s="52"/>
      <c r="C85" s="52"/>
      <c r="D85" s="76"/>
      <c r="E85" s="191"/>
      <c r="F85" s="77"/>
    </row>
    <row r="86" spans="1:6" ht="15.95" customHeight="1">
      <c r="A86" s="15"/>
      <c r="B86" s="52"/>
      <c r="C86" s="52"/>
      <c r="D86" s="76"/>
      <c r="E86" s="191"/>
      <c r="F86" s="77"/>
    </row>
    <row r="87" spans="1:6" ht="15.95" customHeight="1">
      <c r="A87" s="15"/>
      <c r="B87" s="52"/>
      <c r="C87" s="52"/>
      <c r="D87" s="76"/>
      <c r="E87" s="191"/>
      <c r="F87" s="77"/>
    </row>
    <row r="88" spans="1:6" ht="15.95" customHeight="1">
      <c r="A88" s="15"/>
      <c r="B88" s="52"/>
      <c r="C88" s="52"/>
      <c r="D88" s="76"/>
      <c r="E88" s="191"/>
      <c r="F88" s="77"/>
    </row>
    <row r="89" spans="1:6" ht="15.95" customHeight="1">
      <c r="E89" s="192"/>
    </row>
    <row r="90" spans="1:6" ht="15.95" customHeight="1">
      <c r="E90" s="192"/>
    </row>
    <row r="91" spans="1:6" ht="15.95" customHeight="1">
      <c r="E91" s="192"/>
    </row>
    <row r="92" spans="1:6" ht="15.95" customHeight="1">
      <c r="E92" s="192"/>
    </row>
    <row r="93" spans="1:6" ht="15.95" customHeight="1">
      <c r="E93" s="192"/>
    </row>
    <row r="94" spans="1:6" ht="15.95" customHeight="1">
      <c r="E94" s="192"/>
    </row>
    <row r="95" spans="1:6" ht="15.95" customHeight="1">
      <c r="E95" s="192"/>
    </row>
    <row r="96" spans="1:6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J172"/>
  <sheetViews>
    <sheetView view="pageBreakPreview" topLeftCell="A2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54</v>
      </c>
      <c r="B3" s="23" t="s">
        <v>55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1.9</v>
      </c>
      <c r="E4" s="31" t="s">
        <v>283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12.9</v>
      </c>
      <c r="E5" s="31" t="s">
        <v>296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IF(Tabel_Totaal_werkzaamheden28[[#This Row],[OMSCHRIJVING]]="","",_xlfn.XLOOKUP(Tabel_Totaal_werkzaamheden28[[#This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VLOOKUP(Tabel_Totaal_werkzaamheden28[[#This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2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VLOOKUP(Tabel_Totaal_werkzaamheden28[[#This Row],[OMSCHRIJVING]],Blad1!A:C,3,FALSE)</f>
        <v>2.4.15</v>
      </c>
      <c r="B13" s="56" t="s">
        <v>42</v>
      </c>
      <c r="C13" s="57"/>
      <c r="D13" s="255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2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2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VLOOKUP(Tabel_Totaal_werkzaamheden28[[#This Row],[OMSCHRIJVING]],Blad1!A:C,3,FALSE)</f>
        <v>2.4.17</v>
      </c>
      <c r="B16" s="56" t="s">
        <v>43</v>
      </c>
      <c r="C16" s="61"/>
      <c r="D16" s="2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2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2"/>
      <c r="C18" s="63"/>
      <c r="D18" s="254"/>
      <c r="E18" s="190"/>
      <c r="F18" s="65"/>
      <c r="H18" s="19"/>
      <c r="I18" s="19"/>
      <c r="J18" s="19"/>
    </row>
    <row r="19" spans="1:10" s="21" customFormat="1" ht="15.95" customHeight="1">
      <c r="A19" s="1" t="str">
        <f>VLOOKUP(Tabel_Totaal_werkzaamheden28[[#This Row],[OMSCHRIJVING]],Blad1!A:C,3,FALSE)</f>
        <v>2.4.18</v>
      </c>
      <c r="B19" s="56" t="s">
        <v>182</v>
      </c>
      <c r="C19" s="61"/>
      <c r="D19" s="2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2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2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VLOOKUP(Tabel_Totaal_werkzaamheden28[[#This Row],[OMSCHRIJVING]],Blad1!A:C,3,FALSE)</f>
        <v>2.4.21</v>
      </c>
      <c r="B22" s="56" t="s">
        <v>29</v>
      </c>
      <c r="C22" s="61"/>
      <c r="D22" s="2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2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2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VLOOKUP(Tabel_Totaal_werkzaamheden28[[#This Row],[OMSCHRIJVING]],Blad1!A:C,3,FALSE)</f>
        <v>2.4.22</v>
      </c>
      <c r="B25" s="56" t="s">
        <v>159</v>
      </c>
      <c r="C25" s="61"/>
      <c r="D25" s="2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2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2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2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VLOOKUP(Tabel_Totaal_werkzaamheden28[[#This Row],[OMSCHRIJVING]],Blad1!A:C,3,FALSE)</f>
        <v>2.4.23</v>
      </c>
      <c r="B29" s="56" t="s">
        <v>160</v>
      </c>
      <c r="C29" s="66"/>
      <c r="D29" s="2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254">
        <v>1</v>
      </c>
      <c r="E30" s="188"/>
      <c r="F30" s="55"/>
      <c r="H30" s="19"/>
      <c r="I30" s="19"/>
      <c r="J30" s="19"/>
    </row>
    <row r="31" spans="1:10" ht="15.95" customHeight="1">
      <c r="A31" s="1"/>
      <c r="B31" s="52"/>
      <c r="C31" s="66"/>
      <c r="D31" s="254"/>
      <c r="E31" s="188"/>
      <c r="F31" s="55"/>
    </row>
    <row r="32" spans="1:10" ht="15.95" customHeight="1">
      <c r="A32" s="1" t="str">
        <f>VLOOKUP(Tabel_Totaal_werkzaamheden28[[#This Row],[OMSCHRIJVING]],Blad1!A:C,3,FALSE)</f>
        <v>2.4.30</v>
      </c>
      <c r="B32" s="15" t="s">
        <v>394</v>
      </c>
      <c r="C32" s="66"/>
      <c r="D32" s="2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2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254">
        <v>1</v>
      </c>
      <c r="E34" s="188"/>
      <c r="F34" s="55"/>
    </row>
    <row r="35" spans="1:10" ht="15.95" customHeight="1">
      <c r="A35" s="1"/>
      <c r="B35" s="52"/>
      <c r="C35" s="66"/>
      <c r="D35" s="254"/>
      <c r="E35" s="188"/>
      <c r="F35" s="55"/>
    </row>
    <row r="36" spans="1:10" ht="15.95" customHeight="1">
      <c r="A36" s="1" t="str">
        <f>VLOOKUP(Tabel_Totaal_werkzaamheden28[[#This Row],[OMSCHRIJVING]],Blad1!A:C,3,FALSE)</f>
        <v>2.4.31</v>
      </c>
      <c r="B36" s="56" t="s">
        <v>396</v>
      </c>
      <c r="C36" s="66"/>
      <c r="D36" s="2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254">
        <v>1</v>
      </c>
      <c r="E37" s="188"/>
      <c r="F37" s="55"/>
    </row>
    <row r="38" spans="1:10" ht="15.95" customHeight="1">
      <c r="A38" s="1"/>
      <c r="B38" s="52"/>
      <c r="C38" s="66"/>
      <c r="D38" s="254"/>
      <c r="E38" s="188"/>
      <c r="F38" s="55"/>
    </row>
    <row r="39" spans="1:10" ht="15.95" customHeight="1">
      <c r="A39" s="1" t="str">
        <f>VLOOKUP(Tabel_Totaal_werkzaamheden28[[#This Row],[OMSCHRIJVING]],Blad1!A:C,3,FALSE)</f>
        <v>2.4.34</v>
      </c>
      <c r="B39" s="15" t="s">
        <v>161</v>
      </c>
      <c r="C39" s="66"/>
      <c r="D39" s="2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254">
        <v>1</v>
      </c>
      <c r="E40" s="188"/>
      <c r="F40" s="55"/>
      <c r="G40" s="67"/>
    </row>
    <row r="41" spans="1:10" ht="15.95" customHeight="1">
      <c r="A41" s="1"/>
      <c r="B41" s="68"/>
      <c r="C41" s="66"/>
      <c r="D41" s="254"/>
      <c r="E41" s="188"/>
      <c r="F41" s="55"/>
    </row>
    <row r="42" spans="1:10" ht="15.95" customHeight="1">
      <c r="A42" s="1" t="str">
        <f>VLOOKUP(Tabel_Totaal_werkzaamheden28[[#This Row],[OMSCHRIJVING]],Blad1!A:C,3,FALSE)</f>
        <v>2.5.3</v>
      </c>
      <c r="B42" s="15" t="s">
        <v>227</v>
      </c>
      <c r="C42" s="66"/>
      <c r="D42" s="2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254">
        <v>1</v>
      </c>
      <c r="E43" s="188"/>
      <c r="F43" s="55"/>
      <c r="J43" s="69"/>
    </row>
    <row r="44" spans="1:10" ht="15.95" customHeight="1">
      <c r="A44" s="1"/>
      <c r="B44" s="52"/>
      <c r="C44" s="66"/>
      <c r="D44" s="254"/>
      <c r="E44" s="188"/>
      <c r="F44" s="55"/>
    </row>
    <row r="45" spans="1:10" ht="15.95" customHeight="1">
      <c r="A45" s="1" t="str">
        <f>VLOOKUP(Tabel_Totaal_werkzaamheden28[[#This Row],[OMSCHRIJVING]],Blad1!A:C,3,FALSE)</f>
        <v>3.1</v>
      </c>
      <c r="B45" s="15" t="s">
        <v>180</v>
      </c>
      <c r="C45" s="66"/>
      <c r="D45" s="2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2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254">
        <v>1</v>
      </c>
      <c r="E47" s="188"/>
      <c r="F47" s="55"/>
    </row>
    <row r="48" spans="1:10" ht="15.95" customHeight="1">
      <c r="A48" s="1"/>
      <c r="B48" s="52"/>
      <c r="C48" s="66"/>
      <c r="D48" s="254"/>
      <c r="E48" s="188"/>
      <c r="F48" s="55"/>
    </row>
    <row r="49" spans="1:10" ht="15.95" customHeight="1">
      <c r="A49" s="1" t="str">
        <f>VLOOKUP(Tabel_Totaal_werkzaamheden28[[#This Row],[OMSCHRIJVING]],Blad1!A:C,3,FALSE)</f>
        <v>3.3</v>
      </c>
      <c r="B49" s="15" t="s">
        <v>457</v>
      </c>
      <c r="C49" s="66"/>
      <c r="D49" s="254"/>
      <c r="E49" s="188"/>
      <c r="F49" s="55"/>
    </row>
    <row r="50" spans="1:10" ht="15.95" customHeight="1">
      <c r="A50" s="1"/>
      <c r="B50" s="52" t="s">
        <v>22</v>
      </c>
      <c r="C50" s="66" t="s">
        <v>18</v>
      </c>
      <c r="D50" s="254">
        <v>1</v>
      </c>
      <c r="E50" s="188"/>
      <c r="F50" s="55"/>
    </row>
    <row r="51" spans="1:10" ht="15.95" customHeight="1">
      <c r="A51" s="1"/>
      <c r="B51" s="52" t="s">
        <v>348</v>
      </c>
      <c r="C51" s="66" t="s">
        <v>26</v>
      </c>
      <c r="D51" s="254">
        <v>10</v>
      </c>
      <c r="E51" s="188"/>
      <c r="F51" s="55"/>
      <c r="I51" s="21"/>
    </row>
    <row r="52" spans="1:10" ht="15.95" customHeight="1">
      <c r="A52" s="1"/>
      <c r="B52" s="52"/>
      <c r="C52" s="66"/>
      <c r="D52" s="254"/>
      <c r="E52" s="188"/>
      <c r="F52" s="55"/>
    </row>
    <row r="53" spans="1:10" ht="15.95" customHeight="1">
      <c r="A53" s="1" t="str">
        <f>VLOOKUP(Tabel_Totaal_werkzaamheden28[[#This Row],[OMSCHRIJVING]],Blad1!A:C,3,FALSE)</f>
        <v>3.4</v>
      </c>
      <c r="B53" s="70" t="s">
        <v>543</v>
      </c>
      <c r="C53" s="66"/>
      <c r="D53" s="254"/>
      <c r="E53" s="188"/>
      <c r="F53" s="55"/>
    </row>
    <row r="54" spans="1:10" ht="15.95" customHeight="1">
      <c r="A54" s="1"/>
      <c r="B54" s="60" t="s">
        <v>545</v>
      </c>
      <c r="C54" s="66" t="s">
        <v>26</v>
      </c>
      <c r="D54" s="254">
        <v>25</v>
      </c>
      <c r="E54" s="188"/>
      <c r="F54" s="55"/>
    </row>
    <row r="55" spans="1:10" ht="15.95" customHeight="1">
      <c r="A55" s="1"/>
      <c r="B55" s="52"/>
      <c r="C55" s="66"/>
      <c r="D55" s="254"/>
      <c r="E55" s="188"/>
      <c r="F55" s="55"/>
    </row>
    <row r="56" spans="1:10" ht="15.95" customHeight="1">
      <c r="A56" s="1" t="str">
        <f>VLOOKUP(Tabel_Totaal_werkzaamheden28[[#This Row],[OMSCHRIJVING]],Blad1!A:C,3,FALSE)</f>
        <v>3.5</v>
      </c>
      <c r="B56" s="70" t="s">
        <v>169</v>
      </c>
      <c r="C56" s="66"/>
      <c r="D56" s="254"/>
      <c r="E56" s="188"/>
      <c r="F56" s="55"/>
    </row>
    <row r="57" spans="1:10" ht="15.95" customHeight="1">
      <c r="A57" s="1"/>
      <c r="B57" s="19" t="s">
        <v>179</v>
      </c>
      <c r="C57" s="66" t="s">
        <v>18</v>
      </c>
      <c r="D57" s="254">
        <v>1</v>
      </c>
      <c r="E57" s="188"/>
      <c r="F57" s="55"/>
    </row>
    <row r="58" spans="1:10" ht="15.95" customHeight="1">
      <c r="A58" s="1"/>
      <c r="B58" s="19" t="s">
        <v>170</v>
      </c>
      <c r="C58" s="66" t="s">
        <v>18</v>
      </c>
      <c r="D58" s="254">
        <v>1</v>
      </c>
      <c r="E58" s="188"/>
      <c r="F58" s="55"/>
    </row>
    <row r="59" spans="1:10" ht="15.95" customHeight="1">
      <c r="A59" s="1"/>
      <c r="B59" s="19" t="s">
        <v>178</v>
      </c>
      <c r="C59" s="66" t="s">
        <v>24</v>
      </c>
      <c r="D59" s="254">
        <v>26</v>
      </c>
      <c r="E59" s="188"/>
      <c r="F59" s="55"/>
      <c r="I59" s="71"/>
      <c r="J59" s="71"/>
    </row>
    <row r="60" spans="1:10" ht="15.95" customHeight="1">
      <c r="A60" s="1"/>
      <c r="B60" s="52"/>
      <c r="C60" s="66"/>
      <c r="D60" s="254"/>
      <c r="E60" s="188"/>
      <c r="F60" s="55"/>
    </row>
    <row r="61" spans="1:10" ht="15.95" customHeight="1">
      <c r="A61" s="1" t="str">
        <f>VLOOKUP(Tabel_Totaal_werkzaamheden28[[#This Row],[OMSCHRIJVING]],Blad1!A:C,3,FALSE)</f>
        <v>3.6</v>
      </c>
      <c r="B61" s="15" t="s">
        <v>472</v>
      </c>
      <c r="C61" s="66"/>
      <c r="D61" s="254"/>
      <c r="E61" s="188"/>
      <c r="F61" s="55"/>
    </row>
    <row r="62" spans="1:10" ht="15.95" customHeight="1">
      <c r="A62" s="1"/>
      <c r="B62" s="52" t="s">
        <v>186</v>
      </c>
      <c r="C62" s="66" t="s">
        <v>18</v>
      </c>
      <c r="D62" s="254">
        <v>1</v>
      </c>
      <c r="E62" s="188"/>
      <c r="F62" s="55"/>
      <c r="G62" s="67"/>
    </row>
    <row r="63" spans="1:10" ht="15.95" customHeight="1">
      <c r="A63" s="1"/>
      <c r="B63" s="52" t="s">
        <v>167</v>
      </c>
      <c r="C63" s="66" t="s">
        <v>18</v>
      </c>
      <c r="D63" s="254">
        <v>1</v>
      </c>
      <c r="E63" s="188"/>
      <c r="F63" s="55"/>
    </row>
    <row r="64" spans="1:10" ht="15.95" customHeight="1">
      <c r="A64" s="1"/>
      <c r="B64" s="60" t="s">
        <v>172</v>
      </c>
      <c r="C64" s="66" t="s">
        <v>18</v>
      </c>
      <c r="D64" s="254">
        <v>1</v>
      </c>
      <c r="E64" s="188"/>
      <c r="F64" s="55"/>
    </row>
    <row r="65" spans="1:8" ht="15.95" customHeight="1">
      <c r="A65" s="1"/>
      <c r="B65" s="52" t="s">
        <v>23</v>
      </c>
      <c r="C65" s="66" t="s">
        <v>18</v>
      </c>
      <c r="D65" s="254">
        <v>1</v>
      </c>
      <c r="E65" s="188"/>
      <c r="F65" s="55"/>
    </row>
    <row r="66" spans="1:8" ht="15.95" customHeight="1">
      <c r="A66" s="1"/>
      <c r="B66" s="52" t="s">
        <v>25</v>
      </c>
      <c r="C66" s="66" t="s">
        <v>18</v>
      </c>
      <c r="D66" s="254">
        <v>1</v>
      </c>
      <c r="E66" s="188"/>
      <c r="F66" s="55"/>
    </row>
    <row r="67" spans="1:8" ht="15.95" customHeight="1">
      <c r="A67" s="1"/>
      <c r="B67" s="52" t="s">
        <v>185</v>
      </c>
      <c r="C67" s="66" t="s">
        <v>18</v>
      </c>
      <c r="D67" s="254">
        <v>1</v>
      </c>
      <c r="E67" s="188"/>
      <c r="F67" s="55"/>
      <c r="H67" s="21"/>
    </row>
    <row r="68" spans="1:8" ht="15.95" customHeight="1">
      <c r="A68" s="1"/>
      <c r="B68" s="52" t="s">
        <v>542</v>
      </c>
      <c r="C68" s="66" t="s">
        <v>26</v>
      </c>
      <c r="D68" s="254">
        <v>25</v>
      </c>
      <c r="E68" s="188"/>
      <c r="F68" s="55"/>
    </row>
    <row r="69" spans="1:8" ht="15.95" customHeight="1">
      <c r="A69" s="1"/>
      <c r="B69" s="52" t="s">
        <v>27</v>
      </c>
      <c r="C69" s="66" t="s">
        <v>24</v>
      </c>
      <c r="D69" s="254">
        <v>26</v>
      </c>
      <c r="E69" s="188"/>
      <c r="F69" s="55"/>
    </row>
    <row r="70" spans="1:8" ht="15.95" customHeight="1">
      <c r="A70" s="1"/>
      <c r="B70" s="52" t="s">
        <v>181</v>
      </c>
      <c r="C70" s="66" t="s">
        <v>24</v>
      </c>
      <c r="D70" s="254">
        <v>12</v>
      </c>
      <c r="E70" s="188"/>
      <c r="F70" s="55"/>
    </row>
    <row r="71" spans="1:8" ht="15.95" customHeight="1">
      <c r="A71" s="1"/>
      <c r="B71" s="52" t="s">
        <v>171</v>
      </c>
      <c r="C71" s="66" t="s">
        <v>18</v>
      </c>
      <c r="D71" s="254">
        <v>1</v>
      </c>
      <c r="E71" s="188"/>
      <c r="F71" s="55"/>
    </row>
    <row r="72" spans="1:8" ht="15.95" customHeight="1">
      <c r="A72" s="1"/>
      <c r="B72" s="52"/>
      <c r="C72" s="66"/>
      <c r="D72" s="254"/>
      <c r="E72" s="188"/>
      <c r="F72" s="55"/>
    </row>
    <row r="73" spans="1:8" ht="15.95" customHeight="1">
      <c r="A73" s="1" t="str">
        <f>VLOOKUP(Tabel_Totaal_werkzaamheden28[[#This Row],[OMSCHRIJVING]],Blad1!A:C,3,FALSE)</f>
        <v>3.7</v>
      </c>
      <c r="B73" s="70" t="s">
        <v>174</v>
      </c>
      <c r="C73" s="66"/>
      <c r="D73" s="254"/>
      <c r="E73" s="188"/>
      <c r="F73" s="55"/>
    </row>
    <row r="74" spans="1:8" s="164" customFormat="1" ht="25.5">
      <c r="A74" s="1"/>
      <c r="B74" s="164" t="s">
        <v>341</v>
      </c>
      <c r="C74" s="162" t="s">
        <v>26</v>
      </c>
      <c r="D74" s="254">
        <v>10</v>
      </c>
      <c r="E74" s="193"/>
      <c r="F74" s="157"/>
      <c r="G74" s="163"/>
    </row>
    <row r="75" spans="1:8" ht="15.95" customHeight="1">
      <c r="A75" s="1"/>
      <c r="B75" s="52"/>
      <c r="C75" s="66"/>
      <c r="D75" s="254"/>
      <c r="E75" s="188"/>
      <c r="F75" s="55"/>
    </row>
    <row r="76" spans="1:8" ht="15.95" customHeight="1">
      <c r="A76" s="1" t="str">
        <f>VLOOKUP(Tabel_Totaal_werkzaamheden28[[#This Row],[OMSCHRIJVING]],Blad1!A:C,3,FALSE)</f>
        <v>3.8</v>
      </c>
      <c r="B76" s="72" t="s">
        <v>231</v>
      </c>
      <c r="C76" s="73"/>
      <c r="D76" s="254"/>
      <c r="E76" s="188"/>
      <c r="F76" s="55"/>
    </row>
    <row r="77" spans="1:8" ht="15.95" customHeight="1">
      <c r="A77" s="1"/>
      <c r="B77" s="74" t="s">
        <v>28</v>
      </c>
      <c r="C77" s="73" t="s">
        <v>18</v>
      </c>
      <c r="D77" s="254">
        <v>1</v>
      </c>
      <c r="E77" s="188"/>
      <c r="F77" s="55"/>
    </row>
    <row r="78" spans="1:8" ht="15.95" customHeight="1">
      <c r="A78" s="1"/>
      <c r="B78" s="52"/>
      <c r="C78" s="66"/>
      <c r="D78" s="254"/>
      <c r="E78" s="188"/>
      <c r="F78" s="55"/>
    </row>
    <row r="79" spans="1:8" ht="15.95" customHeight="1">
      <c r="A79" s="1" t="str">
        <f>VLOOKUP(Tabel_Totaal_werkzaamheden28[[#This Row],[OMSCHRIJVING]],Blad1!A:C,3,FALSE)</f>
        <v>3.10</v>
      </c>
      <c r="B79" s="15" t="s">
        <v>499</v>
      </c>
      <c r="C79" s="66"/>
      <c r="D79" s="254"/>
      <c r="E79" s="188"/>
      <c r="F79" s="55"/>
    </row>
    <row r="80" spans="1:8" ht="15.95" customHeight="1">
      <c r="A80" s="1"/>
      <c r="B80" s="52" t="s">
        <v>230</v>
      </c>
      <c r="C80" s="66" t="s">
        <v>18</v>
      </c>
      <c r="D80" s="254">
        <v>1</v>
      </c>
      <c r="E80" s="188"/>
      <c r="F80" s="55"/>
    </row>
    <row r="81" spans="1:7" ht="15.95" customHeight="1">
      <c r="A81" s="1" t="str">
        <f>IF(Tabel_Totaal_werkzaamheden28[[#This Row],[OMSCHRIJVING]]="","",_xlfn.XLOOKUP(Tabel_Totaal_werkzaamheden28[[#This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11" t="s">
        <v>155</v>
      </c>
      <c r="B82" s="212"/>
      <c r="C82" s="213"/>
      <c r="D82" s="214" t="str">
        <f>B3</f>
        <v>Brug 2 Vlinderveen</v>
      </c>
      <c r="E82" s="215" t="str">
        <f>A3</f>
        <v>EEK-03</v>
      </c>
      <c r="F82" s="216">
        <f>SUBTOTAL(109,Tabel_Totaal_werkzaamheden28[TOTAALBEDRAG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pageSetUpPr fitToPage="1"/>
  </sheetPr>
  <dimension ref="A1:J172"/>
  <sheetViews>
    <sheetView view="pageBreakPreview" zoomScaleNormal="130" zoomScaleSheetLayoutView="100" zoomScalePageLayoutView="130" workbookViewId="0">
      <selection activeCell="E10" sqref="E10"/>
    </sheetView>
  </sheetViews>
  <sheetFormatPr defaultColWidth="9.140625" defaultRowHeight="15.95" customHeight="1"/>
  <cols>
    <col min="1" max="1" width="7.7109375" style="19" customWidth="1"/>
    <col min="2" max="2" width="90.7109375" style="19" customWidth="1"/>
    <col min="3" max="3" width="7.7109375" style="19" customWidth="1"/>
    <col min="4" max="4" width="11.7109375" style="19" customWidth="1"/>
    <col min="5" max="5" width="11.7109375" style="78" customWidth="1"/>
    <col min="6" max="6" width="15.7109375" style="78" customWidth="1"/>
    <col min="7" max="7" width="10.85546875" style="21" bestFit="1" customWidth="1"/>
    <col min="8" max="9" width="9.140625" style="19"/>
    <col min="10" max="10" width="11.5703125" style="19" bestFit="1" customWidth="1"/>
    <col min="11" max="13" width="9.140625" style="19"/>
    <col min="14" max="14" width="11.5703125" style="19" bestFit="1" customWidth="1"/>
    <col min="15" max="16384" width="9.140625" style="19"/>
  </cols>
  <sheetData>
    <row r="1" spans="1:10" ht="15.95" customHeight="1">
      <c r="A1" s="261" t="s">
        <v>41</v>
      </c>
      <c r="B1" s="262"/>
      <c r="C1" s="262"/>
      <c r="D1" s="262"/>
      <c r="E1" s="262"/>
      <c r="F1" s="262"/>
    </row>
    <row r="2" spans="1:10" ht="15.95" customHeight="1" thickBot="1">
      <c r="A2" s="263"/>
      <c r="B2" s="264"/>
      <c r="C2" s="264"/>
      <c r="D2" s="264"/>
      <c r="E2" s="264"/>
      <c r="F2" s="264"/>
    </row>
    <row r="3" spans="1:10" ht="15.75" customHeight="1" thickBot="1">
      <c r="A3" s="22" t="s">
        <v>56</v>
      </c>
      <c r="B3" s="23" t="s">
        <v>57</v>
      </c>
      <c r="C3" s="24"/>
      <c r="D3" s="24"/>
      <c r="E3" s="25"/>
      <c r="F3" s="26"/>
    </row>
    <row r="4" spans="1:10" ht="15.75" customHeight="1">
      <c r="A4" s="27"/>
      <c r="B4" s="28" t="s">
        <v>168</v>
      </c>
      <c r="C4" s="29" t="s">
        <v>225</v>
      </c>
      <c r="D4" s="30">
        <v>2.7</v>
      </c>
      <c r="E4" s="31" t="s">
        <v>266</v>
      </c>
      <c r="F4" s="32"/>
    </row>
    <row r="5" spans="1:10" ht="15.75" customHeight="1">
      <c r="A5" s="27"/>
      <c r="B5" s="28" t="s">
        <v>315</v>
      </c>
      <c r="C5" s="29" t="s">
        <v>225</v>
      </c>
      <c r="D5" s="30">
        <v>7.7</v>
      </c>
      <c r="E5" s="31" t="s">
        <v>287</v>
      </c>
      <c r="F5" s="32"/>
    </row>
    <row r="6" spans="1:10" s="21" customFormat="1" ht="15.75" customHeight="1" thickBot="1">
      <c r="A6" s="33"/>
      <c r="B6" s="33"/>
      <c r="C6" s="29"/>
      <c r="D6" s="30"/>
      <c r="E6" s="34"/>
      <c r="F6" s="34"/>
      <c r="H6" s="19"/>
      <c r="I6" s="19"/>
      <c r="J6" s="19"/>
    </row>
    <row r="7" spans="1:10" s="21" customFormat="1" ht="36.75" customHeight="1" thickBot="1">
      <c r="A7" s="35" t="s">
        <v>165</v>
      </c>
      <c r="B7" s="36" t="s">
        <v>1</v>
      </c>
      <c r="C7" s="37" t="s">
        <v>2</v>
      </c>
      <c r="D7" s="38" t="s">
        <v>163</v>
      </c>
      <c r="E7" s="39" t="s">
        <v>164</v>
      </c>
      <c r="F7" s="40" t="s">
        <v>3</v>
      </c>
      <c r="H7" s="19"/>
      <c r="I7" s="19"/>
      <c r="J7" s="19"/>
    </row>
    <row r="8" spans="1:10" s="21" customFormat="1" ht="15.95" customHeight="1">
      <c r="A8" s="153" t="str">
        <f>IF(Tabel_Totaal_werkzaamheden29[[#This Row],[OMSCHRIJVING]]="","",_xlfn.XLOOKUP(Tabel_Totaal_werkzaamheden29[[#This Row],[OMSCHRIJVING]],Verwijzingsblad!$B$2:$B$186,Verwijzingsblad!$A$2:$A$186,""))</f>
        <v/>
      </c>
      <c r="B8" s="41"/>
      <c r="C8" s="42"/>
      <c r="D8" s="42"/>
      <c r="E8" s="186"/>
      <c r="F8" s="43"/>
      <c r="H8" s="19"/>
      <c r="I8" s="19"/>
      <c r="J8" s="19"/>
    </row>
    <row r="9" spans="1:10" s="21" customFormat="1" ht="15.95" customHeight="1">
      <c r="A9" s="1" t="str">
        <f>VLOOKUP(Tabel_Totaal_werkzaamheden29[[#This Row],[OMSCHRIJVING]],Blad1!A:C,3,FALSE)</f>
        <v>2.4.13</v>
      </c>
      <c r="B9" s="44" t="s">
        <v>157</v>
      </c>
      <c r="C9" s="45"/>
      <c r="D9" s="46"/>
      <c r="E9" s="187"/>
      <c r="F9" s="47"/>
      <c r="H9" s="19"/>
      <c r="I9" s="19"/>
      <c r="J9" s="19"/>
    </row>
    <row r="10" spans="1:10" s="21" customFormat="1" ht="15.95" customHeight="1">
      <c r="A10" s="1"/>
      <c r="B10" s="48" t="s">
        <v>158</v>
      </c>
      <c r="C10" s="49" t="s">
        <v>18</v>
      </c>
      <c r="D10" s="50">
        <v>1</v>
      </c>
      <c r="E10" s="187"/>
      <c r="F10" s="51"/>
      <c r="H10" s="19"/>
      <c r="I10" s="19"/>
      <c r="J10" s="19"/>
    </row>
    <row r="11" spans="1:10" s="21" customFormat="1" ht="15.95" customHeight="1">
      <c r="A11" s="1"/>
      <c r="B11" s="48" t="s">
        <v>232</v>
      </c>
      <c r="C11" s="49" t="s">
        <v>18</v>
      </c>
      <c r="D11" s="50">
        <v>1</v>
      </c>
      <c r="E11" s="187"/>
      <c r="F11" s="51"/>
      <c r="H11" s="19"/>
      <c r="I11" s="19"/>
      <c r="J11" s="19"/>
    </row>
    <row r="12" spans="1:10" s="21" customFormat="1" ht="15.95" customHeight="1">
      <c r="A12" s="1"/>
      <c r="B12" s="52"/>
      <c r="C12" s="53"/>
      <c r="D12" s="54"/>
      <c r="E12" s="188"/>
      <c r="F12" s="55"/>
      <c r="H12" s="19"/>
      <c r="I12" s="19"/>
      <c r="J12" s="19"/>
    </row>
    <row r="13" spans="1:10" s="21" customFormat="1" ht="15.95" customHeight="1">
      <c r="A13" s="1" t="str">
        <f>VLOOKUP(Tabel_Totaal_werkzaamheden29[[#This Row],[OMSCHRIJVING]],Blad1!A:C,3,FALSE)</f>
        <v>2.4.15</v>
      </c>
      <c r="B13" s="56" t="s">
        <v>42</v>
      </c>
      <c r="C13" s="57"/>
      <c r="D13" s="58"/>
      <c r="E13" s="189"/>
      <c r="F13" s="59"/>
      <c r="H13" s="19"/>
      <c r="I13" s="19"/>
      <c r="J13" s="19"/>
    </row>
    <row r="14" spans="1:10" s="21" customFormat="1" ht="15.95" customHeight="1">
      <c r="A14" s="1"/>
      <c r="B14" s="60" t="s">
        <v>226</v>
      </c>
      <c r="C14" s="53" t="s">
        <v>18</v>
      </c>
      <c r="D14" s="54">
        <v>1</v>
      </c>
      <c r="E14" s="188"/>
      <c r="F14" s="55"/>
      <c r="H14" s="19"/>
      <c r="I14" s="19"/>
      <c r="J14" s="19"/>
    </row>
    <row r="15" spans="1:10" s="21" customFormat="1" ht="15.95" customHeight="1">
      <c r="A15" s="1"/>
      <c r="B15" s="60"/>
      <c r="C15" s="61"/>
      <c r="D15" s="54"/>
      <c r="E15" s="188"/>
      <c r="F15" s="55"/>
      <c r="H15" s="19"/>
      <c r="I15" s="19"/>
      <c r="J15" s="19"/>
    </row>
    <row r="16" spans="1:10" s="21" customFormat="1" ht="15.95" customHeight="1">
      <c r="A16" s="1" t="str">
        <f>VLOOKUP(Tabel_Totaal_werkzaamheden29[[#This Row],[OMSCHRIJVING]],Blad1!A:C,3,FALSE)</f>
        <v>2.4.17</v>
      </c>
      <c r="B16" s="56" t="s">
        <v>43</v>
      </c>
      <c r="C16" s="61"/>
      <c r="D16" s="54"/>
      <c r="E16" s="188"/>
      <c r="F16" s="55"/>
      <c r="H16" s="19"/>
      <c r="I16" s="19"/>
      <c r="J16" s="19"/>
    </row>
    <row r="17" spans="1:10" s="21" customFormat="1" ht="15.95" customHeight="1">
      <c r="A17" s="1"/>
      <c r="B17" s="60" t="s">
        <v>35</v>
      </c>
      <c r="C17" s="53" t="s">
        <v>18</v>
      </c>
      <c r="D17" s="54">
        <v>1</v>
      </c>
      <c r="E17" s="188"/>
      <c r="F17" s="55"/>
      <c r="H17" s="19"/>
      <c r="I17" s="19"/>
      <c r="J17" s="19"/>
    </row>
    <row r="18" spans="1:10" s="21" customFormat="1" ht="15.95" customHeight="1">
      <c r="A18" s="1"/>
      <c r="B18" s="60"/>
      <c r="C18" s="61"/>
      <c r="D18" s="54"/>
      <c r="E18" s="188"/>
      <c r="F18" s="55"/>
      <c r="H18" s="19"/>
      <c r="I18" s="19"/>
      <c r="J18" s="19"/>
    </row>
    <row r="19" spans="1:10" s="21" customFormat="1" ht="15.95" customHeight="1">
      <c r="A19" s="1" t="str">
        <f>VLOOKUP(Tabel_Totaal_werkzaamheden29[[#This Row],[OMSCHRIJVING]],Blad1!A:C,3,FALSE)</f>
        <v>2.4.18</v>
      </c>
      <c r="B19" s="56" t="s">
        <v>182</v>
      </c>
      <c r="C19" s="61"/>
      <c r="D19" s="54"/>
      <c r="E19" s="188"/>
      <c r="F19" s="55"/>
      <c r="H19" s="19"/>
      <c r="I19" s="19"/>
      <c r="J19" s="19"/>
    </row>
    <row r="20" spans="1:10" s="21" customFormat="1" ht="15.95" customHeight="1">
      <c r="A20" s="1"/>
      <c r="B20" s="60" t="s">
        <v>233</v>
      </c>
      <c r="C20" s="53" t="s">
        <v>18</v>
      </c>
      <c r="D20" s="54">
        <v>1</v>
      </c>
      <c r="E20" s="188"/>
      <c r="F20" s="55"/>
      <c r="H20" s="19"/>
      <c r="I20" s="19"/>
      <c r="J20" s="19"/>
    </row>
    <row r="21" spans="1:10" s="21" customFormat="1" ht="15.95" customHeight="1">
      <c r="A21" s="1"/>
      <c r="B21" s="60"/>
      <c r="C21" s="61"/>
      <c r="D21" s="54"/>
      <c r="E21" s="188"/>
      <c r="F21" s="55"/>
      <c r="H21" s="19"/>
      <c r="I21" s="19"/>
      <c r="J21" s="19"/>
    </row>
    <row r="22" spans="1:10" s="21" customFormat="1" ht="15.95" customHeight="1">
      <c r="A22" s="1" t="str">
        <f>VLOOKUP(Tabel_Totaal_werkzaamheden29[[#This Row],[OMSCHRIJVING]],Blad1!A:C,3,FALSE)</f>
        <v>2.4.21</v>
      </c>
      <c r="B22" s="56" t="s">
        <v>29</v>
      </c>
      <c r="C22" s="61"/>
      <c r="D22" s="54"/>
      <c r="E22" s="188"/>
      <c r="F22" s="55"/>
      <c r="H22" s="19"/>
      <c r="I22" s="19"/>
      <c r="J22" s="19"/>
    </row>
    <row r="23" spans="1:10" s="21" customFormat="1" ht="15.95" customHeight="1">
      <c r="A23" s="1"/>
      <c r="B23" s="60" t="s">
        <v>17</v>
      </c>
      <c r="C23" s="66" t="s">
        <v>18</v>
      </c>
      <c r="D23" s="54">
        <v>1</v>
      </c>
      <c r="E23" s="188"/>
      <c r="F23" s="55"/>
      <c r="H23" s="19"/>
      <c r="I23" s="19"/>
      <c r="J23" s="19"/>
    </row>
    <row r="24" spans="1:10" s="21" customFormat="1" ht="15.95" customHeight="1">
      <c r="A24" s="1"/>
      <c r="B24" s="60"/>
      <c r="C24" s="61"/>
      <c r="D24" s="54"/>
      <c r="E24" s="188"/>
      <c r="F24" s="55"/>
      <c r="H24" s="19"/>
      <c r="I24" s="19"/>
      <c r="J24" s="19"/>
    </row>
    <row r="25" spans="1:10" s="21" customFormat="1" ht="15.95" customHeight="1">
      <c r="A25" s="1" t="str">
        <f>VLOOKUP(Tabel_Totaal_werkzaamheden29[[#This Row],[OMSCHRIJVING]],Blad1!A:C,3,FALSE)</f>
        <v>2.4.22</v>
      </c>
      <c r="B25" s="56" t="s">
        <v>159</v>
      </c>
      <c r="C25" s="61"/>
      <c r="D25" s="54"/>
      <c r="E25" s="188"/>
      <c r="F25" s="55"/>
      <c r="H25" s="19"/>
      <c r="I25" s="19"/>
      <c r="J25" s="19"/>
    </row>
    <row r="26" spans="1:10" s="21" customFormat="1" ht="15.95" customHeight="1">
      <c r="A26" s="1"/>
      <c r="B26" s="60" t="s">
        <v>36</v>
      </c>
      <c r="C26" s="66" t="s">
        <v>18</v>
      </c>
      <c r="D26" s="54">
        <v>1</v>
      </c>
      <c r="E26" s="188"/>
      <c r="F26" s="55"/>
      <c r="H26" s="19"/>
      <c r="I26" s="19"/>
      <c r="J26" s="19"/>
    </row>
    <row r="27" spans="1:10" s="21" customFormat="1" ht="15.95" customHeight="1">
      <c r="A27" s="1"/>
      <c r="B27" s="52" t="s">
        <v>19</v>
      </c>
      <c r="C27" s="66" t="s">
        <v>18</v>
      </c>
      <c r="D27" s="54">
        <v>1</v>
      </c>
      <c r="E27" s="188"/>
      <c r="F27" s="55"/>
      <c r="H27" s="19"/>
      <c r="I27" s="19"/>
      <c r="J27" s="19"/>
    </row>
    <row r="28" spans="1:10" s="21" customFormat="1" ht="15.95" customHeight="1">
      <c r="A28" s="1"/>
      <c r="B28" s="52"/>
      <c r="C28" s="66"/>
      <c r="D28" s="54"/>
      <c r="E28" s="188"/>
      <c r="F28" s="55"/>
      <c r="H28" s="19"/>
      <c r="I28" s="19"/>
      <c r="J28" s="19"/>
    </row>
    <row r="29" spans="1:10" s="21" customFormat="1" ht="15.95" customHeight="1">
      <c r="A29" s="1" t="str">
        <f>VLOOKUP(Tabel_Totaal_werkzaamheden29[[#This Row],[OMSCHRIJVING]],Blad1!A:C,3,FALSE)</f>
        <v>2.4.23</v>
      </c>
      <c r="B29" s="56" t="s">
        <v>160</v>
      </c>
      <c r="C29" s="66"/>
      <c r="D29" s="54"/>
      <c r="E29" s="188"/>
      <c r="F29" s="55"/>
      <c r="H29" s="19"/>
      <c r="I29" s="19"/>
      <c r="J29" s="19"/>
    </row>
    <row r="30" spans="1:10" s="21" customFormat="1" ht="15.95" customHeight="1">
      <c r="A30" s="1"/>
      <c r="B30" s="60" t="s">
        <v>37</v>
      </c>
      <c r="C30" s="66" t="s">
        <v>18</v>
      </c>
      <c r="D30" s="54">
        <v>1</v>
      </c>
      <c r="E30" s="188"/>
      <c r="F30" s="55"/>
      <c r="H30" s="19"/>
      <c r="I30" s="19"/>
      <c r="J30" s="19"/>
    </row>
    <row r="31" spans="1:10" ht="15.95" customHeight="1">
      <c r="A31" s="1"/>
      <c r="B31" s="52"/>
      <c r="C31" s="66"/>
      <c r="D31" s="54"/>
      <c r="E31" s="188"/>
      <c r="F31" s="55"/>
    </row>
    <row r="32" spans="1:10" ht="15.95" customHeight="1">
      <c r="A32" s="1" t="str">
        <f>VLOOKUP(Tabel_Totaal_werkzaamheden29[[#This Row],[OMSCHRIJVING]],Blad1!A:C,3,FALSE)</f>
        <v>2.4.30</v>
      </c>
      <c r="B32" s="15" t="s">
        <v>394</v>
      </c>
      <c r="C32" s="66"/>
      <c r="D32" s="54"/>
      <c r="E32" s="188"/>
      <c r="F32" s="55"/>
    </row>
    <row r="33" spans="1:10" ht="15.95" customHeight="1">
      <c r="A33" s="1"/>
      <c r="B33" s="52" t="s">
        <v>229</v>
      </c>
      <c r="C33" s="66" t="s">
        <v>18</v>
      </c>
      <c r="D33" s="54">
        <v>1</v>
      </c>
      <c r="E33" s="188"/>
      <c r="F33" s="55"/>
    </row>
    <row r="34" spans="1:10" ht="15.95" customHeight="1">
      <c r="A34" s="1"/>
      <c r="B34" s="52" t="s">
        <v>20</v>
      </c>
      <c r="C34" s="66" t="s">
        <v>18</v>
      </c>
      <c r="D34" s="54">
        <v>1</v>
      </c>
      <c r="E34" s="188"/>
      <c r="F34" s="55"/>
    </row>
    <row r="35" spans="1:10" ht="15.95" customHeight="1">
      <c r="A35" s="1"/>
      <c r="B35" s="52"/>
      <c r="C35" s="66"/>
      <c r="D35" s="54"/>
      <c r="E35" s="188"/>
      <c r="F35" s="55"/>
    </row>
    <row r="36" spans="1:10" ht="15.95" customHeight="1">
      <c r="A36" s="1" t="str">
        <f>VLOOKUP(Tabel_Totaal_werkzaamheden29[[#This Row],[OMSCHRIJVING]],Blad1!A:C,3,FALSE)</f>
        <v>2.4.31</v>
      </c>
      <c r="B36" s="56" t="s">
        <v>396</v>
      </c>
      <c r="C36" s="66"/>
      <c r="D36" s="54"/>
      <c r="E36" s="188"/>
      <c r="F36" s="55"/>
    </row>
    <row r="37" spans="1:10" ht="15.95" customHeight="1">
      <c r="A37" s="1"/>
      <c r="B37" s="52" t="s">
        <v>21</v>
      </c>
      <c r="C37" s="66" t="s">
        <v>18</v>
      </c>
      <c r="D37" s="54">
        <v>1</v>
      </c>
      <c r="E37" s="188"/>
      <c r="F37" s="55"/>
    </row>
    <row r="38" spans="1:10" ht="15.95" customHeight="1">
      <c r="A38" s="1"/>
      <c r="B38" s="52"/>
      <c r="C38" s="66"/>
      <c r="D38" s="54"/>
      <c r="E38" s="188"/>
      <c r="F38" s="55"/>
    </row>
    <row r="39" spans="1:10" ht="15.95" customHeight="1">
      <c r="A39" s="1" t="str">
        <f>VLOOKUP(Tabel_Totaal_werkzaamheden29[[#This Row],[OMSCHRIJVING]],Blad1!A:C,3,FALSE)</f>
        <v>2.4.34</v>
      </c>
      <c r="B39" s="15" t="s">
        <v>161</v>
      </c>
      <c r="C39" s="66"/>
      <c r="D39" s="54"/>
      <c r="E39" s="188"/>
      <c r="F39" s="55"/>
    </row>
    <row r="40" spans="1:10" ht="15.95" customHeight="1">
      <c r="A40" s="1"/>
      <c r="B40" s="60" t="s">
        <v>39</v>
      </c>
      <c r="C40" s="66" t="s">
        <v>18</v>
      </c>
      <c r="D40" s="54">
        <v>1</v>
      </c>
      <c r="E40" s="188"/>
      <c r="F40" s="55"/>
      <c r="G40" s="67"/>
    </row>
    <row r="41" spans="1:10" ht="15.95" customHeight="1">
      <c r="A41" s="1"/>
      <c r="B41" s="68"/>
      <c r="C41" s="66"/>
      <c r="D41" s="54"/>
      <c r="E41" s="188"/>
      <c r="F41" s="55"/>
    </row>
    <row r="42" spans="1:10" ht="15.95" customHeight="1">
      <c r="A42" s="1" t="str">
        <f>VLOOKUP(Tabel_Totaal_werkzaamheden29[[#This Row],[OMSCHRIJVING]],Blad1!A:C,3,FALSE)</f>
        <v>2.5.3</v>
      </c>
      <c r="B42" s="15" t="s">
        <v>227</v>
      </c>
      <c r="C42" s="66"/>
      <c r="D42" s="54"/>
      <c r="E42" s="188"/>
      <c r="F42" s="55"/>
    </row>
    <row r="43" spans="1:10" ht="15.95" customHeight="1">
      <c r="A43" s="1"/>
      <c r="B43" s="68" t="s">
        <v>38</v>
      </c>
      <c r="C43" s="66" t="s">
        <v>18</v>
      </c>
      <c r="D43" s="54">
        <v>1</v>
      </c>
      <c r="E43" s="188"/>
      <c r="F43" s="55"/>
      <c r="J43" s="69"/>
    </row>
    <row r="44" spans="1:10" ht="15.95" customHeight="1">
      <c r="A44" s="1"/>
      <c r="B44" s="52"/>
      <c r="C44" s="66"/>
      <c r="D44" s="54"/>
      <c r="E44" s="188"/>
      <c r="F44" s="55"/>
    </row>
    <row r="45" spans="1:10" ht="15.95" customHeight="1">
      <c r="A45" s="1" t="str">
        <f>VLOOKUP(Tabel_Totaal_werkzaamheden29[[#This Row],[OMSCHRIJVING]],Blad1!A:C,3,FALSE)</f>
        <v>3.1</v>
      </c>
      <c r="B45" s="15" t="s">
        <v>180</v>
      </c>
      <c r="C45" s="66"/>
      <c r="D45" s="54"/>
      <c r="E45" s="188"/>
      <c r="F45" s="55"/>
    </row>
    <row r="46" spans="1:10" ht="15.95" customHeight="1">
      <c r="A46" s="1"/>
      <c r="B46" s="60" t="s">
        <v>234</v>
      </c>
      <c r="C46" s="66" t="s">
        <v>18</v>
      </c>
      <c r="D46" s="54">
        <v>1</v>
      </c>
      <c r="E46" s="188"/>
      <c r="F46" s="55"/>
    </row>
    <row r="47" spans="1:10" ht="15.95" customHeight="1">
      <c r="A47" s="1"/>
      <c r="B47" s="60" t="s">
        <v>166</v>
      </c>
      <c r="C47" s="66" t="s">
        <v>18</v>
      </c>
      <c r="D47" s="54">
        <v>1</v>
      </c>
      <c r="E47" s="188"/>
      <c r="F47" s="55"/>
    </row>
    <row r="48" spans="1:10" ht="15.95" customHeight="1">
      <c r="A48" s="1"/>
      <c r="B48" s="52"/>
      <c r="C48" s="66"/>
      <c r="D48" s="54"/>
      <c r="E48" s="188"/>
      <c r="F48" s="55"/>
    </row>
    <row r="49" spans="1:10" ht="15.95" customHeight="1">
      <c r="A49" s="1" t="str">
        <f>VLOOKUP(Tabel_Totaal_werkzaamheden29[[#This Row],[OMSCHRIJVING]],Blad1!A:C,3,FALSE)</f>
        <v>3.3</v>
      </c>
      <c r="B49" s="15" t="s">
        <v>457</v>
      </c>
      <c r="C49" s="66"/>
      <c r="D49" s="54"/>
      <c r="E49" s="188"/>
      <c r="F49" s="55"/>
    </row>
    <row r="50" spans="1:10" ht="15.95" customHeight="1">
      <c r="A50" s="1"/>
      <c r="B50" s="52" t="s">
        <v>285</v>
      </c>
      <c r="C50" s="66" t="s">
        <v>18</v>
      </c>
      <c r="D50" s="54">
        <v>1</v>
      </c>
      <c r="E50" s="188"/>
      <c r="F50" s="55"/>
    </row>
    <row r="51" spans="1:10" ht="15.95" customHeight="1">
      <c r="A51" s="1"/>
      <c r="B51" s="52" t="s">
        <v>238</v>
      </c>
      <c r="C51" s="66" t="s">
        <v>26</v>
      </c>
      <c r="D51" s="54">
        <v>18</v>
      </c>
      <c r="E51" s="188"/>
      <c r="F51" s="55"/>
      <c r="I51" s="21"/>
    </row>
    <row r="52" spans="1:10" ht="15.95" customHeight="1">
      <c r="A52" s="1"/>
      <c r="B52" s="52"/>
      <c r="C52" s="66"/>
      <c r="D52" s="54"/>
      <c r="E52" s="188"/>
      <c r="F52" s="55"/>
    </row>
    <row r="53" spans="1:10" ht="15.95" customHeight="1">
      <c r="A53" s="1" t="str">
        <f>VLOOKUP(Tabel_Totaal_werkzaamheden29[[#This Row],[OMSCHRIJVING]],Blad1!A:C,3,FALSE)</f>
        <v>3.4</v>
      </c>
      <c r="B53" s="70" t="s">
        <v>543</v>
      </c>
      <c r="C53" s="66"/>
      <c r="D53" s="54"/>
      <c r="E53" s="188"/>
      <c r="F53" s="55"/>
    </row>
    <row r="54" spans="1:10" ht="15.95" customHeight="1">
      <c r="A54" s="1"/>
      <c r="B54" s="60" t="s">
        <v>545</v>
      </c>
      <c r="C54" s="66" t="s">
        <v>26</v>
      </c>
      <c r="D54" s="54">
        <v>21</v>
      </c>
      <c r="E54" s="188"/>
      <c r="F54" s="55"/>
    </row>
    <row r="55" spans="1:10" ht="15.95" customHeight="1">
      <c r="A55" s="1"/>
      <c r="B55" s="52"/>
      <c r="C55" s="66"/>
      <c r="D55" s="54"/>
      <c r="E55" s="188"/>
      <c r="F55" s="55"/>
    </row>
    <row r="56" spans="1:10" ht="15.95" customHeight="1">
      <c r="A56" s="1" t="str">
        <f>VLOOKUP(Tabel_Totaal_werkzaamheden29[[#This Row],[OMSCHRIJVING]],Blad1!A:C,3,FALSE)</f>
        <v>3.5</v>
      </c>
      <c r="B56" s="70" t="s">
        <v>169</v>
      </c>
      <c r="C56" s="66"/>
      <c r="D56" s="54"/>
      <c r="E56" s="188"/>
      <c r="F56" s="55"/>
    </row>
    <row r="57" spans="1:10" ht="15.95" customHeight="1">
      <c r="A57" s="1"/>
      <c r="B57" s="19" t="s">
        <v>179</v>
      </c>
      <c r="C57" s="66" t="s">
        <v>18</v>
      </c>
      <c r="D57" s="54">
        <v>1</v>
      </c>
      <c r="E57" s="188"/>
      <c r="F57" s="55"/>
    </row>
    <row r="58" spans="1:10" ht="15.95" customHeight="1">
      <c r="A58" s="1"/>
      <c r="B58" s="19" t="s">
        <v>170</v>
      </c>
      <c r="C58" s="66" t="s">
        <v>18</v>
      </c>
      <c r="D58" s="54">
        <v>1</v>
      </c>
      <c r="E58" s="188"/>
      <c r="F58" s="55"/>
    </row>
    <row r="59" spans="1:10" ht="15.95" customHeight="1">
      <c r="A59" s="1"/>
      <c r="B59" s="19" t="s">
        <v>178</v>
      </c>
      <c r="C59" s="66" t="s">
        <v>24</v>
      </c>
      <c r="D59" s="54">
        <v>16</v>
      </c>
      <c r="E59" s="188"/>
      <c r="F59" s="55"/>
      <c r="I59" s="71"/>
      <c r="J59" s="71"/>
    </row>
    <row r="60" spans="1:10" ht="15.95" customHeight="1">
      <c r="A60" s="1"/>
      <c r="B60" s="52"/>
      <c r="C60" s="66"/>
      <c r="D60" s="54"/>
      <c r="E60" s="188"/>
      <c r="F60" s="55"/>
    </row>
    <row r="61" spans="1:10" ht="15.95" customHeight="1">
      <c r="A61" s="1" t="str">
        <f>VLOOKUP(Tabel_Totaal_werkzaamheden29[[#This Row],[OMSCHRIJVING]],Blad1!A:C,3,FALSE)</f>
        <v>3.6</v>
      </c>
      <c r="B61" s="15" t="s">
        <v>472</v>
      </c>
      <c r="C61" s="66"/>
      <c r="D61" s="54"/>
      <c r="E61" s="188"/>
      <c r="F61" s="55"/>
    </row>
    <row r="62" spans="1:10" ht="15.95" customHeight="1">
      <c r="A62" s="1"/>
      <c r="B62" s="52" t="s">
        <v>186</v>
      </c>
      <c r="C62" s="66" t="s">
        <v>18</v>
      </c>
      <c r="D62" s="54">
        <v>1</v>
      </c>
      <c r="E62" s="188"/>
      <c r="F62" s="55"/>
      <c r="G62" s="67"/>
    </row>
    <row r="63" spans="1:10" ht="15.95" customHeight="1">
      <c r="A63" s="1"/>
      <c r="B63" s="52" t="s">
        <v>167</v>
      </c>
      <c r="C63" s="66" t="s">
        <v>18</v>
      </c>
      <c r="D63" s="54">
        <v>1</v>
      </c>
      <c r="E63" s="188"/>
      <c r="F63" s="55"/>
    </row>
    <row r="64" spans="1:10" ht="15.95" customHeight="1">
      <c r="A64" s="1"/>
      <c r="B64" s="60" t="s">
        <v>172</v>
      </c>
      <c r="C64" s="66" t="s">
        <v>18</v>
      </c>
      <c r="D64" s="54">
        <v>1</v>
      </c>
      <c r="E64" s="188"/>
      <c r="F64" s="55"/>
    </row>
    <row r="65" spans="1:8" ht="15.95" customHeight="1">
      <c r="A65" s="1"/>
      <c r="B65" s="52" t="s">
        <v>23</v>
      </c>
      <c r="C65" s="66" t="s">
        <v>18</v>
      </c>
      <c r="D65" s="54">
        <v>1</v>
      </c>
      <c r="E65" s="188"/>
      <c r="F65" s="55"/>
    </row>
    <row r="66" spans="1:8" ht="15.95" customHeight="1">
      <c r="A66" s="1"/>
      <c r="B66" s="52" t="s">
        <v>25</v>
      </c>
      <c r="C66" s="66" t="s">
        <v>18</v>
      </c>
      <c r="D66" s="54">
        <v>1</v>
      </c>
      <c r="E66" s="188"/>
      <c r="F66" s="55"/>
    </row>
    <row r="67" spans="1:8" ht="15.95" customHeight="1">
      <c r="A67" s="1"/>
      <c r="B67" s="52" t="s">
        <v>185</v>
      </c>
      <c r="C67" s="66" t="s">
        <v>18</v>
      </c>
      <c r="D67" s="54">
        <v>1</v>
      </c>
      <c r="E67" s="188"/>
      <c r="F67" s="55"/>
      <c r="H67" s="21"/>
    </row>
    <row r="68" spans="1:8" ht="15.95" customHeight="1">
      <c r="A68" s="1"/>
      <c r="B68" s="52" t="s">
        <v>547</v>
      </c>
      <c r="C68" s="66" t="s">
        <v>26</v>
      </c>
      <c r="D68" s="54">
        <v>21</v>
      </c>
      <c r="E68" s="188"/>
      <c r="F68" s="55"/>
    </row>
    <row r="69" spans="1:8" ht="15.95" customHeight="1">
      <c r="A69" s="1"/>
      <c r="B69" s="52" t="s">
        <v>27</v>
      </c>
      <c r="C69" s="66" t="s">
        <v>24</v>
      </c>
      <c r="D69" s="54">
        <v>16</v>
      </c>
      <c r="E69" s="188"/>
      <c r="F69" s="55"/>
    </row>
    <row r="70" spans="1:8" ht="15.95" customHeight="1">
      <c r="A70" s="1"/>
      <c r="B70" s="52" t="s">
        <v>181</v>
      </c>
      <c r="C70" s="66" t="s">
        <v>24</v>
      </c>
      <c r="D70" s="54">
        <v>22.5</v>
      </c>
      <c r="E70" s="188"/>
      <c r="F70" s="55"/>
    </row>
    <row r="71" spans="1:8" ht="15.95" customHeight="1">
      <c r="A71" s="1"/>
      <c r="B71" s="52" t="s">
        <v>171</v>
      </c>
      <c r="C71" s="66" t="s">
        <v>18</v>
      </c>
      <c r="D71" s="54">
        <v>1</v>
      </c>
      <c r="E71" s="188"/>
      <c r="F71" s="55"/>
    </row>
    <row r="72" spans="1:8" ht="15.95" customHeight="1">
      <c r="A72" s="1"/>
      <c r="B72" s="52"/>
      <c r="C72" s="66"/>
      <c r="D72" s="54"/>
      <c r="E72" s="188"/>
      <c r="F72" s="55"/>
    </row>
    <row r="73" spans="1:8" ht="15.95" customHeight="1">
      <c r="A73" s="1" t="str">
        <f>VLOOKUP(Tabel_Totaal_werkzaamheden29[[#This Row],[OMSCHRIJVING]],Blad1!A:C,3,FALSE)</f>
        <v>3.7</v>
      </c>
      <c r="B73" s="70" t="s">
        <v>174</v>
      </c>
      <c r="C73" s="66"/>
      <c r="D73" s="54"/>
      <c r="E73" s="188"/>
      <c r="F73" s="55"/>
    </row>
    <row r="74" spans="1:8" ht="15.95" customHeight="1">
      <c r="A74" s="1"/>
      <c r="B74" s="19" t="s">
        <v>342</v>
      </c>
      <c r="C74" s="66" t="s">
        <v>26</v>
      </c>
      <c r="D74" s="54">
        <v>18</v>
      </c>
      <c r="E74" s="188"/>
      <c r="F74" s="55"/>
    </row>
    <row r="75" spans="1:8" ht="15.95" customHeight="1">
      <c r="A75" s="1"/>
      <c r="B75" s="52"/>
      <c r="C75" s="66"/>
      <c r="D75" s="54"/>
      <c r="E75" s="188"/>
      <c r="F75" s="55"/>
    </row>
    <row r="76" spans="1:8" ht="15.95" customHeight="1">
      <c r="A76" s="1" t="str">
        <f>VLOOKUP(Tabel_Totaal_werkzaamheden29[[#This Row],[OMSCHRIJVING]],Blad1!A:C,3,FALSE)</f>
        <v>3.8</v>
      </c>
      <c r="B76" s="72" t="s">
        <v>231</v>
      </c>
      <c r="C76" s="73"/>
      <c r="D76" s="54"/>
      <c r="E76" s="188"/>
      <c r="F76" s="55"/>
    </row>
    <row r="77" spans="1:8" ht="15.95" customHeight="1">
      <c r="A77" s="1"/>
      <c r="B77" s="74" t="s">
        <v>28</v>
      </c>
      <c r="C77" s="73" t="s">
        <v>18</v>
      </c>
      <c r="D77" s="54">
        <v>1</v>
      </c>
      <c r="E77" s="188"/>
      <c r="F77" s="55"/>
    </row>
    <row r="78" spans="1:8" ht="15.95" customHeight="1">
      <c r="A78" s="1"/>
      <c r="B78" s="52"/>
      <c r="C78" s="66"/>
      <c r="D78" s="54"/>
      <c r="E78" s="188"/>
      <c r="F78" s="55"/>
    </row>
    <row r="79" spans="1:8" ht="15.95" customHeight="1">
      <c r="A79" s="1" t="str">
        <f>VLOOKUP(Tabel_Totaal_werkzaamheden29[[#This Row],[OMSCHRIJVING]],Blad1!A:C,3,FALSE)</f>
        <v>3.10</v>
      </c>
      <c r="B79" s="15" t="s">
        <v>499</v>
      </c>
      <c r="C79" s="66"/>
      <c r="D79" s="54"/>
      <c r="E79" s="188"/>
      <c r="F79" s="55"/>
    </row>
    <row r="80" spans="1:8" ht="15.95" customHeight="1">
      <c r="A80" s="1"/>
      <c r="B80" s="52" t="s">
        <v>230</v>
      </c>
      <c r="C80" s="66" t="s">
        <v>18</v>
      </c>
      <c r="D80" s="54">
        <v>1</v>
      </c>
      <c r="E80" s="188"/>
      <c r="F80" s="55"/>
    </row>
    <row r="81" spans="1:7" ht="15.95" customHeight="1">
      <c r="A81" s="1" t="str">
        <f>IF(Tabel_Totaal_werkzaamheden29[[#This Row],[OMSCHRIJVING]]="","",_xlfn.XLOOKUP(Tabel_Totaal_werkzaamheden29[[#This Row],[OMSCHRIJVING]],Verwijzingsblad!$B$2:$B$186,Verwijzingsblad!$A$2:$A$186,""))</f>
        <v/>
      </c>
      <c r="B81" s="52"/>
      <c r="C81" s="66"/>
      <c r="D81" s="54"/>
      <c r="E81" s="188"/>
      <c r="F81" s="55"/>
    </row>
    <row r="82" spans="1:7" ht="15.95" customHeight="1">
      <c r="A82" s="205" t="s">
        <v>155</v>
      </c>
      <c r="B82" s="206"/>
      <c r="C82" s="207"/>
      <c r="D82" s="208" t="str">
        <f>B3</f>
        <v>Brug 4 Vlinderveen</v>
      </c>
      <c r="E82" s="209" t="str">
        <f>A3</f>
        <v>EEK-05</v>
      </c>
      <c r="F82" s="210">
        <f>SUBTOTAL(109,Tabel_Totaal_werkzaamheden29[TOTAALBEDRAG IN EURO])</f>
        <v>0</v>
      </c>
      <c r="G82" s="75"/>
    </row>
    <row r="83" spans="1:7" ht="15.95" customHeight="1">
      <c r="A83" s="15"/>
      <c r="B83" s="52"/>
      <c r="C83" s="52"/>
      <c r="D83" s="76"/>
      <c r="E83" s="191"/>
      <c r="F83" s="77"/>
    </row>
    <row r="84" spans="1:7" ht="15.95" customHeight="1">
      <c r="A84" s="15"/>
      <c r="B84" s="52"/>
      <c r="C84" s="52"/>
      <c r="D84" s="76"/>
      <c r="E84" s="191"/>
      <c r="F84" s="77"/>
    </row>
    <row r="85" spans="1:7" ht="15.95" customHeight="1">
      <c r="A85" s="15"/>
      <c r="B85" s="52"/>
      <c r="C85" s="52"/>
      <c r="D85" s="76"/>
      <c r="E85" s="191"/>
      <c r="F85" s="77"/>
    </row>
    <row r="86" spans="1:7" ht="15.95" customHeight="1">
      <c r="A86" s="15"/>
      <c r="B86" s="52"/>
      <c r="C86" s="52"/>
      <c r="D86" s="76"/>
      <c r="E86" s="191"/>
      <c r="F86" s="77"/>
    </row>
    <row r="87" spans="1:7" ht="15.95" customHeight="1">
      <c r="A87" s="15"/>
      <c r="B87" s="52"/>
      <c r="C87" s="52"/>
      <c r="D87" s="76"/>
      <c r="E87" s="191"/>
      <c r="F87" s="77"/>
    </row>
    <row r="88" spans="1:7" ht="15.95" customHeight="1">
      <c r="A88" s="15"/>
      <c r="B88" s="52"/>
      <c r="C88" s="52"/>
      <c r="D88" s="76"/>
      <c r="E88" s="191"/>
      <c r="F88" s="77"/>
    </row>
    <row r="89" spans="1:7" ht="15.95" customHeight="1">
      <c r="A89" s="15"/>
      <c r="B89" s="52"/>
      <c r="C89" s="52"/>
      <c r="D89" s="76"/>
      <c r="E89" s="191"/>
      <c r="F89" s="77"/>
    </row>
    <row r="90" spans="1:7" ht="15.95" customHeight="1">
      <c r="A90" s="15"/>
      <c r="B90" s="52"/>
      <c r="C90" s="52"/>
      <c r="D90" s="76"/>
      <c r="E90" s="191"/>
      <c r="F90" s="77"/>
    </row>
    <row r="91" spans="1:7" ht="15.95" customHeight="1">
      <c r="A91" s="15"/>
      <c r="B91" s="52"/>
      <c r="C91" s="52"/>
      <c r="D91" s="76"/>
      <c r="E91" s="191"/>
      <c r="F91" s="77"/>
    </row>
    <row r="92" spans="1:7" ht="15.95" customHeight="1">
      <c r="E92" s="192"/>
    </row>
    <row r="93" spans="1:7" ht="15.95" customHeight="1">
      <c r="E93" s="192"/>
    </row>
    <row r="94" spans="1:7" ht="15.95" customHeight="1">
      <c r="E94" s="192"/>
    </row>
    <row r="95" spans="1:7" ht="15.95" customHeight="1">
      <c r="E95" s="192"/>
    </row>
    <row r="96" spans="1:7" ht="15.95" customHeight="1">
      <c r="E96" s="192"/>
    </row>
    <row r="97" spans="5:5" ht="15.95" customHeight="1">
      <c r="E97" s="192"/>
    </row>
    <row r="98" spans="5:5" ht="15.95" customHeight="1">
      <c r="E98" s="192"/>
    </row>
    <row r="99" spans="5:5" ht="15.95" customHeight="1">
      <c r="E99" s="192"/>
    </row>
    <row r="100" spans="5:5" ht="15.95" customHeight="1">
      <c r="E100" s="192"/>
    </row>
    <row r="101" spans="5:5" ht="15.95" customHeight="1">
      <c r="E101" s="192"/>
    </row>
    <row r="102" spans="5:5" ht="15.95" customHeight="1">
      <c r="E102" s="192"/>
    </row>
    <row r="103" spans="5:5" ht="15.95" customHeight="1">
      <c r="E103" s="192"/>
    </row>
    <row r="104" spans="5:5" ht="15.95" customHeight="1">
      <c r="E104" s="192"/>
    </row>
    <row r="105" spans="5:5" ht="15.95" customHeight="1">
      <c r="E105" s="192"/>
    </row>
    <row r="106" spans="5:5" ht="15.95" customHeight="1">
      <c r="E106" s="192"/>
    </row>
    <row r="107" spans="5:5" ht="15.95" customHeight="1">
      <c r="E107" s="192"/>
    </row>
    <row r="108" spans="5:5" ht="15.95" customHeight="1">
      <c r="E108" s="192"/>
    </row>
    <row r="109" spans="5:5" ht="15.95" customHeight="1">
      <c r="E109" s="192"/>
    </row>
    <row r="110" spans="5:5" ht="15.95" customHeight="1">
      <c r="E110" s="192"/>
    </row>
    <row r="111" spans="5:5" ht="15.95" customHeight="1">
      <c r="E111" s="192"/>
    </row>
    <row r="112" spans="5:5" ht="15.95" customHeight="1">
      <c r="E112" s="192"/>
    </row>
    <row r="113" spans="5:5" ht="15.95" customHeight="1">
      <c r="E113" s="192"/>
    </row>
    <row r="114" spans="5:5" ht="15.95" customHeight="1">
      <c r="E114" s="192"/>
    </row>
    <row r="115" spans="5:5" ht="15.95" customHeight="1">
      <c r="E115" s="192"/>
    </row>
    <row r="116" spans="5:5" ht="15.95" customHeight="1">
      <c r="E116" s="192"/>
    </row>
    <row r="117" spans="5:5" ht="15.95" customHeight="1">
      <c r="E117" s="192"/>
    </row>
    <row r="118" spans="5:5" ht="15.95" customHeight="1">
      <c r="E118" s="192"/>
    </row>
    <row r="119" spans="5:5" ht="15.95" customHeight="1">
      <c r="E119" s="192"/>
    </row>
    <row r="120" spans="5:5" ht="15.95" customHeight="1">
      <c r="E120" s="192"/>
    </row>
    <row r="121" spans="5:5" ht="15.95" customHeight="1">
      <c r="E121" s="192"/>
    </row>
    <row r="122" spans="5:5" ht="15.95" customHeight="1">
      <c r="E122" s="192"/>
    </row>
    <row r="123" spans="5:5" ht="15.95" customHeight="1">
      <c r="E123" s="192"/>
    </row>
    <row r="124" spans="5:5" ht="15.95" customHeight="1">
      <c r="E124" s="192"/>
    </row>
    <row r="125" spans="5:5" ht="15.95" customHeight="1">
      <c r="E125" s="192"/>
    </row>
    <row r="126" spans="5:5" ht="15.95" customHeight="1">
      <c r="E126" s="192"/>
    </row>
    <row r="127" spans="5:5" ht="15.95" customHeight="1">
      <c r="E127" s="192"/>
    </row>
    <row r="128" spans="5:5" ht="15.95" customHeight="1">
      <c r="E128" s="192"/>
    </row>
    <row r="129" spans="5:5" ht="15.95" customHeight="1">
      <c r="E129" s="192"/>
    </row>
    <row r="130" spans="5:5" ht="15.95" customHeight="1">
      <c r="E130" s="192"/>
    </row>
    <row r="131" spans="5:5" ht="15.95" customHeight="1">
      <c r="E131" s="192"/>
    </row>
    <row r="132" spans="5:5" ht="15.95" customHeight="1">
      <c r="E132" s="192"/>
    </row>
    <row r="133" spans="5:5" ht="15.95" customHeight="1">
      <c r="E133" s="192"/>
    </row>
    <row r="134" spans="5:5" ht="15.95" customHeight="1">
      <c r="E134" s="192"/>
    </row>
    <row r="135" spans="5:5" ht="15.95" customHeight="1">
      <c r="E135" s="192"/>
    </row>
    <row r="136" spans="5:5" ht="15.95" customHeight="1">
      <c r="E136" s="192"/>
    </row>
    <row r="137" spans="5:5" ht="15.95" customHeight="1">
      <c r="E137" s="192"/>
    </row>
    <row r="138" spans="5:5" ht="15.95" customHeight="1">
      <c r="E138" s="192"/>
    </row>
    <row r="139" spans="5:5" ht="15.95" customHeight="1">
      <c r="E139" s="192"/>
    </row>
    <row r="140" spans="5:5" ht="15.95" customHeight="1">
      <c r="E140" s="192"/>
    </row>
    <row r="141" spans="5:5" ht="15.95" customHeight="1">
      <c r="E141" s="192"/>
    </row>
    <row r="142" spans="5:5" ht="15.95" customHeight="1">
      <c r="E142" s="192"/>
    </row>
    <row r="143" spans="5:5" ht="15.95" customHeight="1">
      <c r="E143" s="192"/>
    </row>
    <row r="144" spans="5:5" ht="15.95" customHeight="1">
      <c r="E144" s="192"/>
    </row>
    <row r="145" spans="5:5" ht="15.95" customHeight="1">
      <c r="E145" s="192"/>
    </row>
    <row r="146" spans="5:5" ht="15.95" customHeight="1">
      <c r="E146" s="192"/>
    </row>
    <row r="147" spans="5:5" ht="15.95" customHeight="1">
      <c r="E147" s="192"/>
    </row>
    <row r="148" spans="5:5" ht="15.95" customHeight="1">
      <c r="E148" s="192"/>
    </row>
    <row r="149" spans="5:5" ht="15.95" customHeight="1">
      <c r="E149" s="192"/>
    </row>
    <row r="150" spans="5:5" ht="15.95" customHeight="1">
      <c r="E150" s="192"/>
    </row>
    <row r="151" spans="5:5" ht="15.95" customHeight="1">
      <c r="E151" s="192"/>
    </row>
    <row r="152" spans="5:5" ht="15.95" customHeight="1">
      <c r="E152" s="192"/>
    </row>
    <row r="153" spans="5:5" ht="15.95" customHeight="1">
      <c r="E153" s="192"/>
    </row>
    <row r="154" spans="5:5" ht="15.95" customHeight="1">
      <c r="E154" s="192"/>
    </row>
    <row r="155" spans="5:5" ht="15.95" customHeight="1">
      <c r="E155" s="192"/>
    </row>
    <row r="156" spans="5:5" ht="15.95" customHeight="1">
      <c r="E156" s="192"/>
    </row>
    <row r="157" spans="5:5" ht="15.95" customHeight="1">
      <c r="E157" s="192"/>
    </row>
    <row r="158" spans="5:5" ht="15.95" customHeight="1">
      <c r="E158" s="192"/>
    </row>
    <row r="159" spans="5:5" ht="15.95" customHeight="1">
      <c r="E159" s="192"/>
    </row>
    <row r="160" spans="5:5" ht="15.95" customHeight="1">
      <c r="E160" s="192"/>
    </row>
    <row r="161" spans="5:5" ht="15.95" customHeight="1">
      <c r="E161" s="192"/>
    </row>
    <row r="162" spans="5:5" ht="15.95" customHeight="1">
      <c r="E162" s="192"/>
    </row>
    <row r="163" spans="5:5" ht="15.95" customHeight="1">
      <c r="E163" s="192"/>
    </row>
    <row r="164" spans="5:5" ht="15.95" customHeight="1">
      <c r="E164" s="192"/>
    </row>
    <row r="165" spans="5:5" ht="15.95" customHeight="1">
      <c r="E165" s="192"/>
    </row>
    <row r="166" spans="5:5" ht="15.95" customHeight="1">
      <c r="E166" s="192"/>
    </row>
    <row r="167" spans="5:5" ht="15.95" customHeight="1">
      <c r="E167" s="192"/>
    </row>
    <row r="168" spans="5:5" ht="15.95" customHeight="1">
      <c r="E168" s="192"/>
    </row>
    <row r="169" spans="5:5" ht="15.95" customHeight="1">
      <c r="E169" s="192"/>
    </row>
    <row r="170" spans="5:5" ht="15.95" customHeight="1">
      <c r="E170" s="192"/>
    </row>
    <row r="171" spans="5:5" ht="15.95" customHeight="1">
      <c r="E171" s="192"/>
    </row>
    <row r="172" spans="5:5" ht="15.95" customHeight="1">
      <c r="E172" s="192"/>
    </row>
  </sheetData>
  <mergeCells count="2">
    <mergeCell ref="A1:F1"/>
    <mergeCell ref="A2:F2"/>
  </mergeCells>
  <pageMargins left="0.59055118110236227" right="0.51181102362204722" top="1.4173228346456694" bottom="1.3779527559055118" header="0.31496062992125984" footer="0.31496062992125984"/>
  <pageSetup paperSize="9" scale="62" fitToHeight="0" orientation="portrait" r:id="rId1"/>
  <headerFooter scaleWithDoc="0">
    <oddHeader xml:space="preserve">&amp;L&amp;G&amp;R&amp;G
</oddHeader>
    <oddFooter>&amp;L&amp;G&amp;R&amp;"Arial,Standaard"&amp;7© 2022 Ingenieursbureau Westenberg B.V.    Pagina &amp;P van &amp;N
Documentnr.: Spij.127-013
Opgesteld door: S. Hulleman
Gecontroleerd door:  L.G. Ras
Datum: 19-05-22
Status: Definitief
Versie: 3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2 j 2 U v y I p X 2 k A A A A 9 Q A A A B I A H A B D b 2 5 m a W c v U G F j a 2 F n Z S 5 4 b W w g o h g A K K A U A A A A A A A A A A A A A A A A A A A A A A A A A A A A h Y + x D o I w G I R f h X S n r d V B y U 8 Z X M G Y m B j X p l R o h B 9 D i / B u D j 6 S r y B G U T f H + + 4 u u b t f b 5 A M d R V c T O t s g z G Z U U 4 C g 7 r J L R Y x 6 f w x X J J E w l b p k y p M M I b R R Y O z M S m 9 P 0 e M 9 X 1 P + z l t 2 o I J z m f s k K U 7 X Z p a h R a d V 6 g N + b T y / y 0 i Y f 8 a I w V d L a g Q g n J g E 4 P M 4 t c X 4 9 y n + w N h 3 V W + a 4 3 E K t y k w C Y J 7 H 1 B P g B Q S w M E F A A C A A g A q 2 j 2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t o 9 l I o i k e 4 D g A A A B E A A A A T A B w A R m 9 y b X V s Y X M v U 2 V j d G l v b j E u b S C i G A A o o B Q A A A A A A A A A A A A A A A A A A A A A A A A A A A A r T k 0 u y c z P U w i G 0 I b W A F B L A Q I t A B Q A A g A I A K t o 9 l L 8 i K V 9 p A A A A P U A A A A S A A A A A A A A A A A A A A A A A A A A A A B D b 2 5 m a W c v U G F j a 2 F n Z S 5 4 b W x Q S w E C L Q A U A A I A C A C r a P Z S D 8 r p q 6 Q A A A D p A A A A E w A A A A A A A A A A A A A A A A D w A A A A W 0 N v b n R l b n R f V H l w Z X N d L n h t b F B L A Q I t A B Q A A g A I A K t o 9 l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/ M / K L g 5 3 W T r f m V 6 n F 1 y 2 t A A A A A A I A A A A A A A N m A A D A A A A A E A A A A L H o i K H l G l O c k Z k O z 8 Z 4 0 A Y A A A A A B I A A A K A A A A A Q A A A A w c Q K 7 e s n z n + B H S T J Y h g V W V A A A A D 4 K / 5 8 / x f z p + Q A n 4 A z h V a P Q l x H A u 6 z y T a s k + z 6 9 8 c 5 O W D S u X e J U D 3 k v k V m T P R f m Y e V h s q D Y 2 V 2 o D Z S g K 7 I l F 5 r w k M g C W 8 P + p Q p 3 i 0 u + S 2 q 3 x Q A A A C M 6 P 8 D B 1 r I 2 5 Y C p z W A r j d i Q v o N W w = = < / D a t a M a s h u p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S a n d e r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 2 0 2 1 - 0 7 - 2 2 T 1 4 : 2 7 : 5 6 . 5 5 2 8 0 7 4 + 0 2 : 0 0 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S a n d e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 P A R A - G R A A F < / s t r i n g > < / k e y > < v a l u e > < i n t > 1 1 6 < / i n t > < / v a l u e > < / i t e m > < i t e m > < k e y > < s t r i n g > O M S C H R I J V I N G < / s t r i n g > < / k e y > < v a l u e > < i n t > 1 3 1 < / i n t > < / v a l u e > < / i t e m > < i t e m > < k e y > < s t r i n g > E E N H E I D < / s t r i n g > < / k e y > < v a l u e > < i n t > 8 9 < / i n t > < / v a l u e > < / i t e m > < i t e m > < k e y > < s t r i n g > H O E V E E L H E I D   R E S U L T A A T S - V E R P L I C H T I N G < / s t r i n g > < / k e y > < v a l u e > < i n t > 2 9 0 < / i n t > < / v a l u e > < / i t e m > < i t e m > < k e y > < s t r i n g > P R I J S   P E R   E E N H E I D   I N   E U R O < / s t r i n g > < / k e y > < v a l u e > < i n t > 2 0 4 < / i n t > < / v a l u e > < / i t e m > < i t e m > < k e y > < s t r i n g > T O T A A L B E D R A G   I N   E U R O < / s t r i n g > < / k e y > < v a l u e > < i n t > 1 8 7 < / i n t > < / v a l u e > < / i t e m > < / C o l u m n W i d t h s > < C o l u m n D i s p l a y I n d e x > < i t e m > < k e y > < s t r i n g > P A R A - G R A A F < / s t r i n g > < / k e y > < v a l u e > < i n t > 0 < / i n t > < / v a l u e > < / i t e m > < i t e m > < k e y > < s t r i n g > O M S C H R I J V I N G < / s t r i n g > < / k e y > < v a l u e > < i n t > 1 < / i n t > < / v a l u e > < / i t e m > < i t e m > < k e y > < s t r i n g > E E N H E I D < / s t r i n g > < / k e y > < v a l u e > < i n t > 2 < / i n t > < / v a l u e > < / i t e m > < i t e m > < k e y > < s t r i n g > H O E V E E L H E I D   R E S U L T A A T S - V E R P L I C H T I N G < / s t r i n g > < / k e y > < v a l u e > < i n t > 3 < / i n t > < / v a l u e > < / i t e m > < i t e m > < k e y > < s t r i n g > P R I J S   P E R   E E N H E I D   I N   E U R O < / s t r i n g > < / k e y > < v a l u e > < i n t > 4 < / i n t > < / v a l u e > < / i t e m > < i t e m > < k e y > < s t r i n g > T O T A A L B E D R A G   I N   E U R O 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 S a n d e r 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 S a n d e r 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 C o l u m n s \ P A R A - G R A A F 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 C o l u m n s \ O M S C H R I J V I N G 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 C o l u m n s \ E E N H E I D 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 C o l u m n s \ H O E V E E L H E I D   R E S U L T A A T S - V E R P L I C H T I N G 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 C o l u m n s \ P R I J S   P E R   E E N H E I D   I N   E U R O 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 C o l u m n s \ T O T A A L B E D R A G   I N   E U R O 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 S a n d e r 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 S a n d e r 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 S a n d e r 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 C o l u m n s \ P A R A - G R A A F < / K e y > < / D i a g r a m O b j e c t K e y > < D i a g r a m O b j e c t K e y > < K e y > C o l u m n s \ O M S C H R I J V I N G < / K e y > < / D i a g r a m O b j e c t K e y > < D i a g r a m O b j e c t K e y > < K e y > C o l u m n s \ E E N H E I D < / K e y > < / D i a g r a m O b j e c t K e y > < D i a g r a m O b j e c t K e y > < K e y > C o l u m n s \ H O E V E E L H E I D   R E S U L T A A T S - V E R P L I C H T I N G < / K e y > < / D i a g r a m O b j e c t K e y > < D i a g r a m O b j e c t K e y > < K e y > C o l u m n s \ P R I J S   P E R   E E N H E I D   I N   E U R O < / K e y > < / D i a g r a m O b j e c t K e y > < D i a g r a m O b j e c t K e y > < K e y > C o l u m n s \ T O T A A L B E D R A G   I N   E U R O 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 C o l u m n s \ P A R A - G R A A F 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 C o l u m n s \ O M S C H R I J V I N G 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 C o l u m n s \ E E N H E I D 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 C o l u m n s \ H O E V E E L H E I D   R E S U L T A A T S - V E R P L I C H T I N G 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 C o l u m n s \ P R I J S   P E R   E E N H E I D   I N   E U R O 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 C o l u m n s \ T O T A A L B E D R A G   I N   E U R O 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S a n d e r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2 1 5 ] ] > < / C u s t o m C o n t e n t > < / G e m i n i > 
</file>

<file path=customXml/itemProps1.xml><?xml version="1.0" encoding="utf-8"?>
<ds:datastoreItem xmlns:ds="http://schemas.openxmlformats.org/officeDocument/2006/customXml" ds:itemID="{4E14B704-4A1E-4BD4-9DB9-6710E1D953EC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D0C1265B-8722-4251-A559-33CBE92E4AC1}">
  <ds:schemaRefs/>
</ds:datastoreItem>
</file>

<file path=customXml/itemProps11.xml><?xml version="1.0" encoding="utf-8"?>
<ds:datastoreItem xmlns:ds="http://schemas.openxmlformats.org/officeDocument/2006/customXml" ds:itemID="{9638390A-97EF-4870-A4FB-7B3F84FFF7FF}">
  <ds:schemaRefs/>
</ds:datastoreItem>
</file>

<file path=customXml/itemProps12.xml><?xml version="1.0" encoding="utf-8"?>
<ds:datastoreItem xmlns:ds="http://schemas.openxmlformats.org/officeDocument/2006/customXml" ds:itemID="{CF7ABBE3-6802-48BF-B9ED-2B590C17C682}">
  <ds:schemaRefs/>
</ds:datastoreItem>
</file>

<file path=customXml/itemProps13.xml><?xml version="1.0" encoding="utf-8"?>
<ds:datastoreItem xmlns:ds="http://schemas.openxmlformats.org/officeDocument/2006/customXml" ds:itemID="{F64B4914-92D3-4C9C-840A-741C17416528}">
  <ds:schemaRefs/>
</ds:datastoreItem>
</file>

<file path=customXml/itemProps14.xml><?xml version="1.0" encoding="utf-8"?>
<ds:datastoreItem xmlns:ds="http://schemas.openxmlformats.org/officeDocument/2006/customXml" ds:itemID="{E229D0E6-D449-4714-BDB6-887A9F112792}">
  <ds:schemaRefs/>
</ds:datastoreItem>
</file>

<file path=customXml/itemProps15.xml><?xml version="1.0" encoding="utf-8"?>
<ds:datastoreItem xmlns:ds="http://schemas.openxmlformats.org/officeDocument/2006/customXml" ds:itemID="{CB387631-A642-4BE2-8BDD-D9F55325B832}">
  <ds:schemaRefs/>
</ds:datastoreItem>
</file>

<file path=customXml/itemProps16.xml><?xml version="1.0" encoding="utf-8"?>
<ds:datastoreItem xmlns:ds="http://schemas.openxmlformats.org/officeDocument/2006/customXml" ds:itemID="{59FD4755-3273-4C43-B914-40B787797F97}">
  <ds:schemaRefs/>
</ds:datastoreItem>
</file>

<file path=customXml/itemProps17.xml><?xml version="1.0" encoding="utf-8"?>
<ds:datastoreItem xmlns:ds="http://schemas.openxmlformats.org/officeDocument/2006/customXml" ds:itemID="{C4995733-24BB-4455-BBE5-333EB6C865A5}">
  <ds:schemaRefs/>
</ds:datastoreItem>
</file>

<file path=customXml/itemProps2.xml><?xml version="1.0" encoding="utf-8"?>
<ds:datastoreItem xmlns:ds="http://schemas.openxmlformats.org/officeDocument/2006/customXml" ds:itemID="{277FA2C4-F2FF-4856-95F1-A8FB8498568A}">
  <ds:schemaRefs/>
</ds:datastoreItem>
</file>

<file path=customXml/itemProps3.xml><?xml version="1.0" encoding="utf-8"?>
<ds:datastoreItem xmlns:ds="http://schemas.openxmlformats.org/officeDocument/2006/customXml" ds:itemID="{0178103D-92C6-449D-9B8A-B9CBE00430A6}">
  <ds:schemaRefs/>
</ds:datastoreItem>
</file>

<file path=customXml/itemProps4.xml><?xml version="1.0" encoding="utf-8"?>
<ds:datastoreItem xmlns:ds="http://schemas.openxmlformats.org/officeDocument/2006/customXml" ds:itemID="{9781E8AD-78B5-431A-91CB-68967E974D11}">
  <ds:schemaRefs/>
</ds:datastoreItem>
</file>

<file path=customXml/itemProps5.xml><?xml version="1.0" encoding="utf-8"?>
<ds:datastoreItem xmlns:ds="http://schemas.openxmlformats.org/officeDocument/2006/customXml" ds:itemID="{7C938FCA-A4A7-464A-9A15-9F844DC29BF3}">
  <ds:schemaRefs/>
</ds:datastoreItem>
</file>

<file path=customXml/itemProps6.xml><?xml version="1.0" encoding="utf-8"?>
<ds:datastoreItem xmlns:ds="http://schemas.openxmlformats.org/officeDocument/2006/customXml" ds:itemID="{02FED189-E038-494D-B8AF-9B1A840D0906}">
  <ds:schemaRefs/>
</ds:datastoreItem>
</file>

<file path=customXml/itemProps7.xml><?xml version="1.0" encoding="utf-8"?>
<ds:datastoreItem xmlns:ds="http://schemas.openxmlformats.org/officeDocument/2006/customXml" ds:itemID="{6BE6AC6D-FA16-43B2-B159-29FF5C9D6981}">
  <ds:schemaRefs/>
</ds:datastoreItem>
</file>

<file path=customXml/itemProps8.xml><?xml version="1.0" encoding="utf-8"?>
<ds:datastoreItem xmlns:ds="http://schemas.openxmlformats.org/officeDocument/2006/customXml" ds:itemID="{369F0373-DEB0-4EDB-A507-2B293057D084}">
  <ds:schemaRefs/>
</ds:datastoreItem>
</file>

<file path=customXml/itemProps9.xml><?xml version="1.0" encoding="utf-8"?>
<ds:datastoreItem xmlns:ds="http://schemas.openxmlformats.org/officeDocument/2006/customXml" ds:itemID="{D6558087-1BBD-44F8-8920-4A28D1CF567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58</vt:i4>
      </vt:variant>
      <vt:variant>
        <vt:lpstr>Benoemde bereiken</vt:lpstr>
      </vt:variant>
      <vt:variant>
        <vt:i4>163</vt:i4>
      </vt:variant>
    </vt:vector>
  </HeadingPairs>
  <TitlesOfParts>
    <vt:vector size="221" baseType="lpstr">
      <vt:lpstr>Verwijzingsblad</vt:lpstr>
      <vt:lpstr>Blad1</vt:lpstr>
      <vt:lpstr>AKK-07</vt:lpstr>
      <vt:lpstr>AKK-09</vt:lpstr>
      <vt:lpstr>AKK-12</vt:lpstr>
      <vt:lpstr>CEN-02</vt:lpstr>
      <vt:lpstr>EEK-02</vt:lpstr>
      <vt:lpstr>EEK-03</vt:lpstr>
      <vt:lpstr>EEK-05</vt:lpstr>
      <vt:lpstr>EEK-06</vt:lpstr>
      <vt:lpstr>EEK-07</vt:lpstr>
      <vt:lpstr>EEK-09</vt:lpstr>
      <vt:lpstr>EEK-10</vt:lpstr>
      <vt:lpstr>HEK-03</vt:lpstr>
      <vt:lpstr>HOE-01</vt:lpstr>
      <vt:lpstr>HOE-02</vt:lpstr>
      <vt:lpstr>HOE-03</vt:lpstr>
      <vt:lpstr>HOE-04</vt:lpstr>
      <vt:lpstr>HOE-05</vt:lpstr>
      <vt:lpstr>HOE-11</vt:lpstr>
      <vt:lpstr>HOE-18</vt:lpstr>
      <vt:lpstr>HV02</vt:lpstr>
      <vt:lpstr>HV03</vt:lpstr>
      <vt:lpstr>MWO-04</vt:lpstr>
      <vt:lpstr>MWO-05</vt:lpstr>
      <vt:lpstr>MWW-07</vt:lpstr>
      <vt:lpstr>MWW-08</vt:lpstr>
      <vt:lpstr>MWW-10</vt:lpstr>
      <vt:lpstr>PAB-05</vt:lpstr>
      <vt:lpstr>PHO-01</vt:lpstr>
      <vt:lpstr>PHO-03</vt:lpstr>
      <vt:lpstr>PHO-04</vt:lpstr>
      <vt:lpstr>PHO-05</vt:lpstr>
      <vt:lpstr>PHO-06</vt:lpstr>
      <vt:lpstr>PHO-07</vt:lpstr>
      <vt:lpstr>PHW-01</vt:lpstr>
      <vt:lpstr>SCK-01</vt:lpstr>
      <vt:lpstr>SCK-02</vt:lpstr>
      <vt:lpstr>STK-04</vt:lpstr>
      <vt:lpstr>VB022</vt:lpstr>
      <vt:lpstr>VB023</vt:lpstr>
      <vt:lpstr>VOZ-01</vt:lpstr>
      <vt:lpstr>VOZ-02</vt:lpstr>
      <vt:lpstr>VOZ-03</vt:lpstr>
      <vt:lpstr>VOZ-12</vt:lpstr>
      <vt:lpstr>VOZ-13</vt:lpstr>
      <vt:lpstr>VRL-01</vt:lpstr>
      <vt:lpstr>VRL-03</vt:lpstr>
      <vt:lpstr>VRL-08</vt:lpstr>
      <vt:lpstr>WAL-07</vt:lpstr>
      <vt:lpstr>WAL-08</vt:lpstr>
      <vt:lpstr>WAL-09</vt:lpstr>
      <vt:lpstr>WAL-14</vt:lpstr>
      <vt:lpstr>WAL-15</vt:lpstr>
      <vt:lpstr>WAL-16</vt:lpstr>
      <vt:lpstr>WAL-18</vt:lpstr>
      <vt:lpstr>WAL-19</vt:lpstr>
      <vt:lpstr>TOTAAL</vt:lpstr>
      <vt:lpstr>'AKK-07'!_Toc515868663</vt:lpstr>
      <vt:lpstr>'AKK-09'!_Toc515868663</vt:lpstr>
      <vt:lpstr>'AKK-12'!_Toc515868663</vt:lpstr>
      <vt:lpstr>'CEN-02'!_Toc515868663</vt:lpstr>
      <vt:lpstr>'EEK-02'!_Toc515868663</vt:lpstr>
      <vt:lpstr>'EEK-03'!_Toc515868663</vt:lpstr>
      <vt:lpstr>'EEK-05'!_Toc515868663</vt:lpstr>
      <vt:lpstr>'EEK-06'!_Toc515868663</vt:lpstr>
      <vt:lpstr>'EEK-07'!_Toc515868663</vt:lpstr>
      <vt:lpstr>'EEK-10'!_Toc515868663</vt:lpstr>
      <vt:lpstr>'HEK-03'!_Toc515868663</vt:lpstr>
      <vt:lpstr>'HOE-01'!_Toc515868663</vt:lpstr>
      <vt:lpstr>'HOE-02'!_Toc515868663</vt:lpstr>
      <vt:lpstr>'HOE-03'!_Toc515868663</vt:lpstr>
      <vt:lpstr>'HOE-04'!_Toc515868663</vt:lpstr>
      <vt:lpstr>'HOE-05'!_Toc515868663</vt:lpstr>
      <vt:lpstr>'HOE-11'!_Toc515868663</vt:lpstr>
      <vt:lpstr>'HOE-18'!_Toc515868663</vt:lpstr>
      <vt:lpstr>'HV02'!_Toc515868663</vt:lpstr>
      <vt:lpstr>'MWO-04'!_Toc515868663</vt:lpstr>
      <vt:lpstr>'MWO-05'!_Toc515868663</vt:lpstr>
      <vt:lpstr>'MWW-07'!_Toc515868663</vt:lpstr>
      <vt:lpstr>'MWW-08'!_Toc515868663</vt:lpstr>
      <vt:lpstr>'MWW-10'!_Toc515868663</vt:lpstr>
      <vt:lpstr>'PAB-05'!_Toc515868663</vt:lpstr>
      <vt:lpstr>'PHO-01'!_Toc515868663</vt:lpstr>
      <vt:lpstr>'PHO-03'!_Toc515868663</vt:lpstr>
      <vt:lpstr>'PHO-04'!_Toc515868663</vt:lpstr>
      <vt:lpstr>'PHO-05'!_Toc515868663</vt:lpstr>
      <vt:lpstr>'PHO-06'!_Toc515868663</vt:lpstr>
      <vt:lpstr>'PHO-07'!_Toc515868663</vt:lpstr>
      <vt:lpstr>'PHW-01'!_Toc515868663</vt:lpstr>
      <vt:lpstr>'SCK-01'!_Toc515868663</vt:lpstr>
      <vt:lpstr>'SCK-02'!_Toc515868663</vt:lpstr>
      <vt:lpstr>'STK-04'!_Toc515868663</vt:lpstr>
      <vt:lpstr>'VB022'!_Toc515868663</vt:lpstr>
      <vt:lpstr>'VB023'!_Toc515868663</vt:lpstr>
      <vt:lpstr>'VOZ-01'!_Toc515868663</vt:lpstr>
      <vt:lpstr>'VOZ-02'!_Toc515868663</vt:lpstr>
      <vt:lpstr>'VOZ-03'!_Toc515868663</vt:lpstr>
      <vt:lpstr>'VOZ-12'!_Toc515868663</vt:lpstr>
      <vt:lpstr>'VOZ-13'!_Toc515868663</vt:lpstr>
      <vt:lpstr>'VRL-01'!_Toc515868663</vt:lpstr>
      <vt:lpstr>'VRL-03'!_Toc515868663</vt:lpstr>
      <vt:lpstr>'VRL-08'!_Toc515868663</vt:lpstr>
      <vt:lpstr>'WAL-07'!_Toc515868663</vt:lpstr>
      <vt:lpstr>'WAL-08'!_Toc515868663</vt:lpstr>
      <vt:lpstr>'WAL-09'!_Toc515868663</vt:lpstr>
      <vt:lpstr>'WAL-14'!_Toc515868663</vt:lpstr>
      <vt:lpstr>'WAL-15'!_Toc515868663</vt:lpstr>
      <vt:lpstr>'WAL-16'!_Toc515868663</vt:lpstr>
      <vt:lpstr>'WAL-18'!_Toc515868663</vt:lpstr>
      <vt:lpstr>'WAL-19'!_Toc515868663</vt:lpstr>
      <vt:lpstr>'AKK-07'!_Toc515868673</vt:lpstr>
      <vt:lpstr>'AKK-09'!_Toc515868673</vt:lpstr>
      <vt:lpstr>'AKK-12'!_Toc515868673</vt:lpstr>
      <vt:lpstr>'CEN-02'!_Toc515868673</vt:lpstr>
      <vt:lpstr>'EEK-02'!_Toc515868673</vt:lpstr>
      <vt:lpstr>'EEK-03'!_Toc515868673</vt:lpstr>
      <vt:lpstr>'EEK-05'!_Toc515868673</vt:lpstr>
      <vt:lpstr>'EEK-06'!_Toc515868673</vt:lpstr>
      <vt:lpstr>'EEK-07'!_Toc515868673</vt:lpstr>
      <vt:lpstr>'EEK-10'!_Toc515868673</vt:lpstr>
      <vt:lpstr>'HEK-03'!_Toc515868673</vt:lpstr>
      <vt:lpstr>'HOE-01'!_Toc515868673</vt:lpstr>
      <vt:lpstr>'HOE-02'!_Toc515868673</vt:lpstr>
      <vt:lpstr>'HOE-03'!_Toc515868673</vt:lpstr>
      <vt:lpstr>'HOE-04'!_Toc515868673</vt:lpstr>
      <vt:lpstr>'HOE-05'!_Toc515868673</vt:lpstr>
      <vt:lpstr>'HOE-11'!_Toc515868673</vt:lpstr>
      <vt:lpstr>'HOE-18'!_Toc515868673</vt:lpstr>
      <vt:lpstr>'HV02'!_Toc515868673</vt:lpstr>
      <vt:lpstr>'MWO-04'!_Toc515868673</vt:lpstr>
      <vt:lpstr>'MWO-05'!_Toc515868673</vt:lpstr>
      <vt:lpstr>'MWW-07'!_Toc515868673</vt:lpstr>
      <vt:lpstr>'MWW-08'!_Toc515868673</vt:lpstr>
      <vt:lpstr>'MWW-10'!_Toc515868673</vt:lpstr>
      <vt:lpstr>'PAB-05'!_Toc515868673</vt:lpstr>
      <vt:lpstr>'PHO-01'!_Toc515868673</vt:lpstr>
      <vt:lpstr>'PHO-03'!_Toc515868673</vt:lpstr>
      <vt:lpstr>'PHO-04'!_Toc515868673</vt:lpstr>
      <vt:lpstr>'PHO-05'!_Toc515868673</vt:lpstr>
      <vt:lpstr>'PHO-06'!_Toc515868673</vt:lpstr>
      <vt:lpstr>'PHO-07'!_Toc515868673</vt:lpstr>
      <vt:lpstr>'PHW-01'!_Toc515868673</vt:lpstr>
      <vt:lpstr>'SCK-01'!_Toc515868673</vt:lpstr>
      <vt:lpstr>'SCK-02'!_Toc515868673</vt:lpstr>
      <vt:lpstr>'STK-04'!_Toc515868673</vt:lpstr>
      <vt:lpstr>'VB022'!_Toc515868673</vt:lpstr>
      <vt:lpstr>'VB023'!_Toc515868673</vt:lpstr>
      <vt:lpstr>'VOZ-01'!_Toc515868673</vt:lpstr>
      <vt:lpstr>'VOZ-02'!_Toc515868673</vt:lpstr>
      <vt:lpstr>'VOZ-03'!_Toc515868673</vt:lpstr>
      <vt:lpstr>'VOZ-12'!_Toc515868673</vt:lpstr>
      <vt:lpstr>'VOZ-13'!_Toc515868673</vt:lpstr>
      <vt:lpstr>'VRL-01'!_Toc515868673</vt:lpstr>
      <vt:lpstr>'VRL-03'!_Toc515868673</vt:lpstr>
      <vt:lpstr>'VRL-08'!_Toc515868673</vt:lpstr>
      <vt:lpstr>'WAL-07'!_Toc515868673</vt:lpstr>
      <vt:lpstr>'WAL-08'!_Toc515868673</vt:lpstr>
      <vt:lpstr>'WAL-09'!_Toc515868673</vt:lpstr>
      <vt:lpstr>'WAL-14'!_Toc515868673</vt:lpstr>
      <vt:lpstr>'WAL-15'!_Toc515868673</vt:lpstr>
      <vt:lpstr>'WAL-16'!_Toc515868673</vt:lpstr>
      <vt:lpstr>'WAL-18'!_Toc515868673</vt:lpstr>
      <vt:lpstr>'WAL-19'!_Toc515868673</vt:lpstr>
      <vt:lpstr>'AKK-07'!Afdrukbereik</vt:lpstr>
      <vt:lpstr>'AKK-09'!Afdrukbereik</vt:lpstr>
      <vt:lpstr>'AKK-12'!Afdrukbereik</vt:lpstr>
      <vt:lpstr>'CEN-02'!Afdrukbereik</vt:lpstr>
      <vt:lpstr>'EEK-02'!Afdrukbereik</vt:lpstr>
      <vt:lpstr>'EEK-03'!Afdrukbereik</vt:lpstr>
      <vt:lpstr>'EEK-05'!Afdrukbereik</vt:lpstr>
      <vt:lpstr>'EEK-06'!Afdrukbereik</vt:lpstr>
      <vt:lpstr>'EEK-07'!Afdrukbereik</vt:lpstr>
      <vt:lpstr>'EEK-09'!Afdrukbereik</vt:lpstr>
      <vt:lpstr>'EEK-10'!Afdrukbereik</vt:lpstr>
      <vt:lpstr>'HEK-03'!Afdrukbereik</vt:lpstr>
      <vt:lpstr>'HOE-01'!Afdrukbereik</vt:lpstr>
      <vt:lpstr>'HOE-02'!Afdrukbereik</vt:lpstr>
      <vt:lpstr>'HOE-03'!Afdrukbereik</vt:lpstr>
      <vt:lpstr>'HOE-04'!Afdrukbereik</vt:lpstr>
      <vt:lpstr>'HOE-05'!Afdrukbereik</vt:lpstr>
      <vt:lpstr>'HOE-11'!Afdrukbereik</vt:lpstr>
      <vt:lpstr>'HOE-18'!Afdrukbereik</vt:lpstr>
      <vt:lpstr>'HV02'!Afdrukbereik</vt:lpstr>
      <vt:lpstr>'HV03'!Afdrukbereik</vt:lpstr>
      <vt:lpstr>'MWO-04'!Afdrukbereik</vt:lpstr>
      <vt:lpstr>'MWO-05'!Afdrukbereik</vt:lpstr>
      <vt:lpstr>'MWW-07'!Afdrukbereik</vt:lpstr>
      <vt:lpstr>'MWW-08'!Afdrukbereik</vt:lpstr>
      <vt:lpstr>'MWW-10'!Afdrukbereik</vt:lpstr>
      <vt:lpstr>'PAB-05'!Afdrukbereik</vt:lpstr>
      <vt:lpstr>'PHO-01'!Afdrukbereik</vt:lpstr>
      <vt:lpstr>'PHO-03'!Afdrukbereik</vt:lpstr>
      <vt:lpstr>'PHO-04'!Afdrukbereik</vt:lpstr>
      <vt:lpstr>'PHO-05'!Afdrukbereik</vt:lpstr>
      <vt:lpstr>'PHO-06'!Afdrukbereik</vt:lpstr>
      <vt:lpstr>'PHO-07'!Afdrukbereik</vt:lpstr>
      <vt:lpstr>'PHW-01'!Afdrukbereik</vt:lpstr>
      <vt:lpstr>'SCK-01'!Afdrukbereik</vt:lpstr>
      <vt:lpstr>'SCK-02'!Afdrukbereik</vt:lpstr>
      <vt:lpstr>'STK-04'!Afdrukbereik</vt:lpstr>
      <vt:lpstr>TOTAAL!Afdrukbereik</vt:lpstr>
      <vt:lpstr>'VB022'!Afdrukbereik</vt:lpstr>
      <vt:lpstr>'VB023'!Afdrukbereik</vt:lpstr>
      <vt:lpstr>'VOZ-01'!Afdrukbereik</vt:lpstr>
      <vt:lpstr>'VOZ-02'!Afdrukbereik</vt:lpstr>
      <vt:lpstr>'VOZ-03'!Afdrukbereik</vt:lpstr>
      <vt:lpstr>'VOZ-12'!Afdrukbereik</vt:lpstr>
      <vt:lpstr>'VOZ-13'!Afdrukbereik</vt:lpstr>
      <vt:lpstr>'VRL-01'!Afdrukbereik</vt:lpstr>
      <vt:lpstr>'VRL-03'!Afdrukbereik</vt:lpstr>
      <vt:lpstr>'VRL-08'!Afdrukbereik</vt:lpstr>
      <vt:lpstr>'WAL-07'!Afdrukbereik</vt:lpstr>
      <vt:lpstr>'WAL-08'!Afdrukbereik</vt:lpstr>
      <vt:lpstr>'WAL-09'!Afdrukbereik</vt:lpstr>
      <vt:lpstr>'WAL-14'!Afdrukbereik</vt:lpstr>
      <vt:lpstr>'WAL-15'!Afdrukbereik</vt:lpstr>
      <vt:lpstr>'WAL-16'!Afdrukbereik</vt:lpstr>
      <vt:lpstr>'WAL-18'!Afdrukbereik</vt:lpstr>
      <vt:lpstr>'WAL-19'!Afdrukbereik</vt:lpstr>
      <vt:lpstr>Verwijzingsblad!OLE_LINK1</vt:lpstr>
    </vt:vector>
  </TitlesOfParts>
  <Company>Ingenieursbureau Westenberg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Hulleman</dc:creator>
  <cp:lastModifiedBy>Kranenburg, Karin van</cp:lastModifiedBy>
  <cp:lastPrinted>2022-05-10T11:14:15Z</cp:lastPrinted>
  <dcterms:created xsi:type="dcterms:W3CDTF">2015-02-27T10:37:30Z</dcterms:created>
  <dcterms:modified xsi:type="dcterms:W3CDTF">2022-05-19T17:19:57Z</dcterms:modified>
</cp:coreProperties>
</file>