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Waterproef\Aanbesteding 2022\Correspondentie\1e NVI\"/>
    </mc:Choice>
  </mc:AlternateContent>
  <xr:revisionPtr revIDLastSave="0" documentId="13_ncr:1_{D7337B18-334B-4EEE-844F-B15C0136D978}" xr6:coauthVersionLast="45" xr6:coauthVersionMax="45" xr10:uidLastSave="{00000000-0000-0000-0000-000000000000}"/>
  <bookViews>
    <workbookView xWindow="-120" yWindow="-120" windowWidth="30960" windowHeight="16920" firstSheet="7" activeTab="13" xr2:uid="{B02D2B48-0037-4B6B-A5DE-E67095761296}"/>
  </bookViews>
  <sheets>
    <sheet name="Omreken" sheetId="1" r:id="rId1"/>
    <sheet name="Categorienormen" sheetId="2" r:id="rId2"/>
    <sheet name="Regulier werk" sheetId="3" r:id="rId3"/>
    <sheet name="Ruimten werkdag" sheetId="4" r:id="rId4"/>
    <sheet name="Objectinformatie" sheetId="5" r:id="rId5"/>
    <sheet name="Objecten" sheetId="6" r:id="rId6"/>
    <sheet name="Niet-meewerkende objectleiding" sheetId="7" r:id="rId7"/>
    <sheet name="Totaalblad Objecten" sheetId="8" r:id="rId8"/>
    <sheet name="Afroep" sheetId="9" r:id="rId9"/>
    <sheet name="Afroep incidenteel" sheetId="10" r:id="rId10"/>
    <sheet name="Regiewerk" sheetId="11" r:id="rId11"/>
    <sheet name="Glas" sheetId="12" r:id="rId12"/>
    <sheet name="Glas per locatie" sheetId="13" r:id="rId13"/>
    <sheet name="Totaal" sheetId="14" r:id="rId14"/>
  </sheets>
  <definedNames>
    <definedName name="_xlnm.Print_Titles" localSheetId="8">Afroep!$1:$3</definedName>
    <definedName name="_xlnm.Print_Titles" localSheetId="9">'Afroep incidenteel'!$1:$3</definedName>
    <definedName name="_xlnm.Print_Titles" localSheetId="1">Categorienormen!$1:$3</definedName>
    <definedName name="_xlnm.Print_Titles" localSheetId="11">Glas!$1:$3</definedName>
    <definedName name="_xlnm.Print_Titles" localSheetId="12">'Glas per locatie'!$1:$3</definedName>
    <definedName name="_xlnm.Print_Titles" localSheetId="6">'Niet-meewerkende objectleiding'!$1:$3</definedName>
    <definedName name="_xlnm.Print_Titles" localSheetId="5">Objecten!$1:$3</definedName>
    <definedName name="_xlnm.Print_Titles" localSheetId="4">Objectinformatie!$A:$D,Objectinformatie!$1:$4</definedName>
    <definedName name="_xlnm.Print_Titles" localSheetId="10">Regiewerk!$1:$3</definedName>
    <definedName name="_xlnm.Print_Titles" localSheetId="2">'Regulier werk'!$1:$3</definedName>
    <definedName name="_xlnm.Print_Titles" localSheetId="3">'Ruimten werkdag'!$1:$3</definedName>
    <definedName name="_xlnm.Print_Titles" localSheetId="13">Totaal!$1:$3</definedName>
    <definedName name="_xlnm.Print_Titles" localSheetId="7">'Totaalblad Objecten'!$1:$3</definedName>
    <definedName name="catdw_1_BHB_1">Categorienormen!$F$6</definedName>
    <definedName name="catdw_1_BHV_51">Categorienormen!$F$7</definedName>
    <definedName name="catdw_1_BZB_1">Categorienormen!$F$8</definedName>
    <definedName name="catdw_1_BZV_51">Categorienormen!$F$9</definedName>
    <definedName name="catdw_1_DHB_1">Categorienormen!$F$10</definedName>
    <definedName name="catdw_1_DHV_51">Categorienormen!$F$11</definedName>
    <definedName name="catdw_1_EZB_1">Categorienormen!$F$16</definedName>
    <definedName name="catdw_1_EZV_51">Categorienormen!$F$17</definedName>
    <definedName name="catdw_1_IHB_1">Categorienormen!$F$18</definedName>
    <definedName name="catdw_1_IHV_51">Categorienormen!$F$19</definedName>
    <definedName name="catdw_1_KHB_1">Categorienormen!$F$12</definedName>
    <definedName name="catdw_1_KHV_51">Categorienormen!$F$13</definedName>
    <definedName name="catdw_1_LHB_1">Categorienormen!$F$20</definedName>
    <definedName name="catdw_1_LHV_51">Categorienormen!$F$21</definedName>
    <definedName name="catdw_1_QHB_1">Categorienormen!$F$22</definedName>
    <definedName name="catdw_1_QHV_51">Categorienormen!$F$23</definedName>
    <definedName name="catdw_1_RHB_1">Categorienormen!$F$24</definedName>
    <definedName name="catdw_1_RHV_51">Categorienormen!$F$25</definedName>
    <definedName name="catdw_1_SHB_1">Categorienormen!$F$14</definedName>
    <definedName name="catdw_1_SHV_51">Categorienormen!$F$15</definedName>
    <definedName name="catdw_1_THB_1">Categorienormen!$F$26</definedName>
    <definedName name="catdw_1_THV_51">Categorienormen!$F$27</definedName>
    <definedName name="catdw_1_TZB_1">Categorienormen!$F$28</definedName>
    <definedName name="catdw_1_TZV_51">Categorienormen!$F$29</definedName>
    <definedName name="catdw_1_VHB_1">Categorienormen!$F$30</definedName>
    <definedName name="catdw_1_VHV_51">Categorienormen!$F$31</definedName>
    <definedName name="catdw_1_VZB_1">Categorienormen!$F$32</definedName>
    <definedName name="catdw_1_VZV_51">Categorienormen!$F$33</definedName>
    <definedName name="catdw_1_WZB_1">Categorienormen!$F$34</definedName>
    <definedName name="catdw_1_WZV_51">Categorienormen!$F$35</definedName>
    <definedName name="catdw_1_XBB_1">Categorienormen!$F$36</definedName>
    <definedName name="catfd_1_BHB_1">Categorienormen!$C$6</definedName>
    <definedName name="catfd_1_BHV_51">Categorienormen!$C$7</definedName>
    <definedName name="catfd_1_BZB_1">Categorienormen!$C$8</definedName>
    <definedName name="catfd_1_BZV_51">Categorienormen!$C$9</definedName>
    <definedName name="catfd_1_DHB_1">Categorienormen!$C$10</definedName>
    <definedName name="catfd_1_DHV_51">Categorienormen!$C$11</definedName>
    <definedName name="catfd_1_EZB_1">Categorienormen!$C$16</definedName>
    <definedName name="catfd_1_EZV_51">Categorienormen!$C$17</definedName>
    <definedName name="catfd_1_IHB_1">Categorienormen!$C$18</definedName>
    <definedName name="catfd_1_IHV_51">Categorienormen!$C$19</definedName>
    <definedName name="catfd_1_KHB_1">Categorienormen!$C$12</definedName>
    <definedName name="catfd_1_KHV_51">Categorienormen!$C$13</definedName>
    <definedName name="catfd_1_LHB_1">Categorienormen!$C$20</definedName>
    <definedName name="catfd_1_LHV_51">Categorienormen!$C$21</definedName>
    <definedName name="catfd_1_QHB_1">Categorienormen!$C$22</definedName>
    <definedName name="catfd_1_QHV_51">Categorienormen!$C$23</definedName>
    <definedName name="catfd_1_RHB_1">Categorienormen!$C$24</definedName>
    <definedName name="catfd_1_RHV_51">Categorienormen!$C$25</definedName>
    <definedName name="catfd_1_SHB_1">Categorienormen!$C$14</definedName>
    <definedName name="catfd_1_SHV_51">Categorienormen!$C$15</definedName>
    <definedName name="catfd_1_THB_1">Categorienormen!$C$26</definedName>
    <definedName name="catfd_1_THV_51">Categorienormen!$C$27</definedName>
    <definedName name="catfd_1_TZB_1">Categorienormen!$C$28</definedName>
    <definedName name="catfd_1_TZV_51">Categorienormen!$C$29</definedName>
    <definedName name="catfd_1_VHB_1">Categorienormen!$C$30</definedName>
    <definedName name="catfd_1_VHV_51">Categorienormen!$C$31</definedName>
    <definedName name="catfd_1_VZB_1">Categorienormen!$C$32</definedName>
    <definedName name="catfd_1_VZV_51">Categorienormen!$C$33</definedName>
    <definedName name="catfd_1_WZB_1">Categorienormen!$C$34</definedName>
    <definedName name="catfd_1_WZV_51">Categorienormen!$C$35</definedName>
    <definedName name="catfd_1_XBB_1">Categorienormen!$C$36</definedName>
    <definedName name="catpn_1_BHB_1">Categorienormen!$E$6</definedName>
    <definedName name="catpn_1_BHV_51">Categorienormen!$E$7</definedName>
    <definedName name="catpn_1_BZB_1">Categorienormen!$E$8</definedName>
    <definedName name="catpn_1_BZV_51">Categorienormen!$E$9</definedName>
    <definedName name="catpn_1_DHB_1">Categorienormen!$E$10</definedName>
    <definedName name="catpn_1_DHV_51">Categorienormen!$E$11</definedName>
    <definedName name="catpn_1_EZB_1">Categorienormen!$E$16</definedName>
    <definedName name="catpn_1_EZV_51">Categorienormen!$E$17</definedName>
    <definedName name="catpn_1_IHB_1">Categorienormen!$E$18</definedName>
    <definedName name="catpn_1_IHV_51">Categorienormen!$E$19</definedName>
    <definedName name="catpn_1_KHB_1">Categorienormen!$E$12</definedName>
    <definedName name="catpn_1_KHV_51">Categorienormen!$E$13</definedName>
    <definedName name="catpn_1_LHB_1">Categorienormen!$E$20</definedName>
    <definedName name="catpn_1_LHV_51">Categorienormen!$E$21</definedName>
    <definedName name="catpn_1_QHB_1">Categorienormen!$E$22</definedName>
    <definedName name="catpn_1_QHV_51">Categorienormen!$E$23</definedName>
    <definedName name="catpn_1_RHB_1">Categorienormen!$E$24</definedName>
    <definedName name="catpn_1_RHV_51">Categorienormen!$E$25</definedName>
    <definedName name="catpn_1_SHB_1">Categorienormen!$E$14</definedName>
    <definedName name="catpn_1_SHV_51">Categorienormen!$E$15</definedName>
    <definedName name="catpn_1_THB_1">Categorienormen!$E$26</definedName>
    <definedName name="catpn_1_THV_51">Categorienormen!$E$27</definedName>
    <definedName name="catpn_1_TZB_1">Categorienormen!$E$28</definedName>
    <definedName name="catpn_1_TZV_51">Categorienormen!$E$29</definedName>
    <definedName name="catpn_1_VHB_1">Categorienormen!$E$30</definedName>
    <definedName name="catpn_1_VHV_51">Categorienormen!$E$31</definedName>
    <definedName name="catpn_1_VZB_1">Categorienormen!$E$32</definedName>
    <definedName name="catpn_1_VZV_51">Categorienormen!$E$33</definedName>
    <definedName name="catpn_1_WZB_1">Categorienormen!$E$34</definedName>
    <definedName name="catpn_1_WZV_51">Categorienormen!$E$35</definedName>
    <definedName name="catpn_1_XBB_1">Categorienormen!$E$36</definedName>
    <definedName name="cattf_1_BHB_1">Categorienormen!$H$6</definedName>
    <definedName name="cattf_1_BHV_51">Categorienormen!$H$7</definedName>
    <definedName name="cattf_1_BZB_1">Categorienormen!$H$8</definedName>
    <definedName name="cattf_1_BZV_51">Categorienormen!$H$9</definedName>
    <definedName name="cattf_1_DHB_1">Categorienormen!$H$10</definedName>
    <definedName name="cattf_1_DHV_51">Categorienormen!$H$11</definedName>
    <definedName name="cattf_1_EZB_1">Categorienormen!$H$16</definedName>
    <definedName name="cattf_1_EZV_51">Categorienormen!$H$17</definedName>
    <definedName name="cattf_1_IHB_1">Categorienormen!$H$18</definedName>
    <definedName name="cattf_1_IHV_51">Categorienormen!$H$19</definedName>
    <definedName name="cattf_1_KHB_1">Categorienormen!$H$12</definedName>
    <definedName name="cattf_1_KHV_51">Categorienormen!$H$13</definedName>
    <definedName name="cattf_1_LHB_1">Categorienormen!$H$20</definedName>
    <definedName name="cattf_1_LHV_51">Categorienormen!$H$21</definedName>
    <definedName name="cattf_1_QHB_1">Categorienormen!$H$22</definedName>
    <definedName name="cattf_1_QHV_51">Categorienormen!$H$23</definedName>
    <definedName name="cattf_1_RHB_1">Categorienormen!$H$24</definedName>
    <definedName name="cattf_1_RHV_51">Categorienormen!$H$25</definedName>
    <definedName name="cattf_1_SHB_1">Categorienormen!$H$14</definedName>
    <definedName name="cattf_1_SHV_51">Categorienormen!$H$15</definedName>
    <definedName name="cattf_1_THB_1">Categorienormen!$H$26</definedName>
    <definedName name="cattf_1_THV_51">Categorienormen!$H$27</definedName>
    <definedName name="cattf_1_TZB_1">Categorienormen!$H$28</definedName>
    <definedName name="cattf_1_TZV_51">Categorienormen!$H$29</definedName>
    <definedName name="cattf_1_VHB_1">Categorienormen!$H$30</definedName>
    <definedName name="cattf_1_VHV_51">Categorienormen!$H$31</definedName>
    <definedName name="cattf_1_VZB_1">Categorienormen!$H$32</definedName>
    <definedName name="cattf_1_VZV_51">Categorienormen!$H$33</definedName>
    <definedName name="cattf_1_WZB_1">Categorienormen!$H$34</definedName>
    <definedName name="cattf_1_WZV_51">Categorienormen!$H$35</definedName>
    <definedName name="cattf_1_XBB_1">Categorienormen!$H$36</definedName>
    <definedName name="dagenperjaar1">Omreken!$B$9</definedName>
    <definedName name="dagenperweek1">Omreken!$B$10</definedName>
    <definedName name="dagsoorttabel1">Omreken!$A$13:$B$25</definedName>
    <definedName name="gemuurtarief1">'Regulier werk'!$I$32</definedName>
    <definedName name="kengetaltabel1">Objectinformatie!$G$5:$G$28</definedName>
    <definedName name="object1_gemuurtarief1">'Ruimten werkdag'!$O$104</definedName>
    <definedName name="object1_opptabel1">Objectinformatie!$I$5:$I$28</definedName>
    <definedName name="object1_prijsdag1">'Ruimten werkdag'!$Q$104</definedName>
    <definedName name="object1_prijsjaar1">'Ruimten werkdag'!$S$104</definedName>
    <definedName name="object1_urendag1">'Ruimten werkdag'!$P$104</definedName>
    <definedName name="object1_urenjaar1">'Ruimten werkdag'!$R$104</definedName>
    <definedName name="objectprijs1_1">Objecten!$J$6</definedName>
    <definedName name="objecturen1_1">Objecten!$I$6</definedName>
    <definedName name="prijsdag1">'Regulier werk'!$K$30</definedName>
    <definedName name="prijsjaar">'Regulier werk'!$M$35</definedName>
    <definedName name="prijsjaar1">'Regulier werk'!$M$30</definedName>
    <definedName name="prijsjaarafroep">Afroep!$K$11</definedName>
    <definedName name="prijsjaarafroep3">Afroep!$K$9</definedName>
    <definedName name="prijsjaarglas">Glas!$K$12</definedName>
    <definedName name="prijsjaarglas1">Glas!$K$10</definedName>
    <definedName name="prijsjaarnietmeewerkend">'Niet-meewerkende objectleiding'!$J$18</definedName>
    <definedName name="prijsjaarregie">Regiewerk!$K$15</definedName>
    <definedName name="prijsjaarregie1">Regiewerk!$K$8</definedName>
    <definedName name="prijsjaarregie3">Regiewerk!$K$13</definedName>
    <definedName name="prijsjaartotaal">Objecten!$J$10</definedName>
    <definedName name="prijsjaartotaal1">Objecten!$J$7</definedName>
    <definedName name="prijsjaartotaaloverzicht">'Totaalblad Objecten'!$F$6</definedName>
    <definedName name="prodnorm10">'Regulier werk'!$G$10</definedName>
    <definedName name="prodnorm11">'Regulier werk'!$G$11</definedName>
    <definedName name="prodnorm12">'Regulier werk'!$G$12</definedName>
    <definedName name="prodnorm13">'Regulier werk'!$G$13</definedName>
    <definedName name="prodnorm14">'Regulier werk'!$G$14</definedName>
    <definedName name="prodnorm15">'Regulier werk'!$G$15</definedName>
    <definedName name="prodnorm16">'Regulier werk'!$G$16</definedName>
    <definedName name="prodnorm17">'Regulier werk'!$G$17</definedName>
    <definedName name="prodnorm18">'Regulier werk'!$G$18</definedName>
    <definedName name="prodnorm19">'Regulier werk'!$G$19</definedName>
    <definedName name="prodnorm20">'Regulier werk'!$G$20</definedName>
    <definedName name="prodnorm21">'Regulier werk'!$G$21</definedName>
    <definedName name="prodnorm22">'Regulier werk'!$G$22</definedName>
    <definedName name="prodnorm23">'Regulier werk'!$G$23</definedName>
    <definedName name="prodnorm24">'Regulier werk'!$G$24</definedName>
    <definedName name="prodnorm25">'Regulier werk'!$G$25</definedName>
    <definedName name="prodnorm26">'Regulier werk'!$G$26</definedName>
    <definedName name="prodnorm27">'Regulier werk'!$G$27</definedName>
    <definedName name="prodnorm28">'Regulier werk'!$G$28</definedName>
    <definedName name="prodnorm29">'Regulier werk'!$G$29</definedName>
    <definedName name="prodnorm6">'Regulier werk'!$G$6</definedName>
    <definedName name="prodnorm7">'Regulier werk'!$G$7</definedName>
    <definedName name="prodnorm8">'Regulier werk'!$G$8</definedName>
    <definedName name="prodnorm9">'Regulier werk'!$G$9</definedName>
    <definedName name="taakfreqtabel1">Objectinformatie!$E$5:$E$28</definedName>
    <definedName name="tabeltype">Omreken!$B$5:$B$5</definedName>
    <definedName name="tarieftabel1">Objectinformatie!$H$5:$H$28</definedName>
    <definedName name="tzpjt1">'Niet-meewerkende objectleiding'!$J$15</definedName>
    <definedName name="tzpjt1_1">'Niet-meewerkende objectleiding'!$J$13</definedName>
    <definedName name="tzujt1">'Niet-meewerkende objectleiding'!$H$15</definedName>
    <definedName name="tzujt1_1">'Niet-meewerkende objectleiding'!$H$13</definedName>
    <definedName name="urendag1">'Regulier werk'!$J$30</definedName>
    <definedName name="urenjaar">'Regulier werk'!$L$35</definedName>
    <definedName name="urenjaar1">'Regulier werk'!$L$30</definedName>
    <definedName name="urenjaarnietmeewerkend">'Niet-meewerkende objectleiding'!$H$18</definedName>
    <definedName name="urenjaartotaal">Objecten!$I$10</definedName>
    <definedName name="urenjaartotaal1">Objecten!$I$7</definedName>
    <definedName name="urenjaartotaaloverzicht">'Totaalblad Objecten'!$E$6</definedName>
    <definedName name="uurfactortabel1">Objectinformatie!$F$5:$F$28</definedName>
    <definedName name="uurtarief10">'Regulier werk'!$I$10</definedName>
    <definedName name="uurtarief11">'Regulier werk'!$I$11</definedName>
    <definedName name="uurtarief12">'Regulier werk'!$I$12</definedName>
    <definedName name="uurtarief13">'Regulier werk'!$I$13</definedName>
    <definedName name="uurtarief14">'Regulier werk'!$I$14</definedName>
    <definedName name="uurtarief15">'Regulier werk'!$I$15</definedName>
    <definedName name="uurtarief16">'Regulier werk'!$I$16</definedName>
    <definedName name="uurtarief17">'Regulier werk'!$I$17</definedName>
    <definedName name="uurtarief18">'Regulier werk'!$I$18</definedName>
    <definedName name="uurtarief19">'Regulier werk'!$I$19</definedName>
    <definedName name="uurtarief20">'Regulier werk'!$I$20</definedName>
    <definedName name="uurtarief21">'Regulier werk'!$I$21</definedName>
    <definedName name="uurtarief22">'Regulier werk'!$I$22</definedName>
    <definedName name="uurtarief23">'Regulier werk'!$I$23</definedName>
    <definedName name="uurtarief24">'Regulier werk'!$I$24</definedName>
    <definedName name="uurtarief25">'Regulier werk'!$I$25</definedName>
    <definedName name="uurtarief26">'Regulier werk'!$I$26</definedName>
    <definedName name="uurtarief27">'Regulier werk'!$I$27</definedName>
    <definedName name="uurtarief28">'Regulier werk'!$I$28</definedName>
    <definedName name="uurtarief29">'Regulier werk'!$I$29</definedName>
    <definedName name="uurtarief6">'Regulier werk'!$I$6</definedName>
    <definedName name="uurtarief7">'Regulier werk'!$I$7</definedName>
    <definedName name="uurtarief8">'Regulier werk'!$I$8</definedName>
    <definedName name="uurtarief9">'Regulier werk'!$I$9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4" l="1"/>
  <c r="E17" i="14"/>
  <c r="A1" i="14" l="1"/>
  <c r="K9" i="13"/>
  <c r="J9" i="13"/>
  <c r="H9" i="13"/>
  <c r="J8" i="13"/>
  <c r="K8" i="13" s="1"/>
  <c r="H8" i="13"/>
  <c r="C8" i="13"/>
  <c r="L8" i="13" s="1"/>
  <c r="K7" i="13"/>
  <c r="J7" i="13"/>
  <c r="H7" i="13"/>
  <c r="J6" i="13"/>
  <c r="K6" i="13" s="1"/>
  <c r="K10" i="13" s="1"/>
  <c r="H6" i="13"/>
  <c r="A1" i="13"/>
  <c r="J9" i="12"/>
  <c r="J8" i="12"/>
  <c r="C8" i="12"/>
  <c r="K8" i="12" s="1"/>
  <c r="J7" i="12"/>
  <c r="J6" i="12"/>
  <c r="A1" i="12"/>
  <c r="J12" i="11"/>
  <c r="C12" i="11"/>
  <c r="K12" i="11" s="1"/>
  <c r="J11" i="11"/>
  <c r="C11" i="11"/>
  <c r="K11" i="11" s="1"/>
  <c r="K13" i="11" s="1"/>
  <c r="J7" i="11"/>
  <c r="J6" i="11"/>
  <c r="A1" i="11"/>
  <c r="A1" i="10"/>
  <c r="J8" i="9"/>
  <c r="J7" i="9"/>
  <c r="C7" i="9"/>
  <c r="K7" i="9" s="1"/>
  <c r="J6" i="9"/>
  <c r="A1" i="9"/>
  <c r="A1" i="8"/>
  <c r="J12" i="7"/>
  <c r="H12" i="7"/>
  <c r="C12" i="7"/>
  <c r="I12" i="7" s="1"/>
  <c r="J11" i="7"/>
  <c r="H11" i="7"/>
  <c r="C11" i="7"/>
  <c r="I11" i="7" s="1"/>
  <c r="J10" i="7"/>
  <c r="H10" i="7"/>
  <c r="C10" i="7"/>
  <c r="I10" i="7" s="1"/>
  <c r="J9" i="7"/>
  <c r="H9" i="7"/>
  <c r="C9" i="7"/>
  <c r="I9" i="7" s="1"/>
  <c r="J8" i="7"/>
  <c r="J13" i="7" s="1"/>
  <c r="H8" i="7"/>
  <c r="H13" i="7" s="1"/>
  <c r="C8" i="7"/>
  <c r="I8" i="7" s="1"/>
  <c r="A1" i="7"/>
  <c r="A1" i="6"/>
  <c r="H28" i="5"/>
  <c r="G28" i="5"/>
  <c r="H27" i="5"/>
  <c r="G27" i="5"/>
  <c r="H26" i="5"/>
  <c r="G26" i="5"/>
  <c r="E26" i="5"/>
  <c r="H25" i="5"/>
  <c r="G25" i="5"/>
  <c r="H24" i="5"/>
  <c r="G24" i="5"/>
  <c r="H23" i="5"/>
  <c r="G23" i="5"/>
  <c r="H22" i="5"/>
  <c r="G22" i="5"/>
  <c r="E22" i="5"/>
  <c r="H21" i="5"/>
  <c r="G21" i="5"/>
  <c r="H18" i="5"/>
  <c r="H15" i="5"/>
  <c r="G15" i="5"/>
  <c r="H12" i="5"/>
  <c r="E11" i="5"/>
  <c r="H10" i="5"/>
  <c r="H9" i="5"/>
  <c r="G5" i="5"/>
  <c r="O103" i="4"/>
  <c r="M103" i="4"/>
  <c r="L103" i="4"/>
  <c r="P103" i="4" s="1"/>
  <c r="O102" i="4"/>
  <c r="M102" i="4"/>
  <c r="O101" i="4"/>
  <c r="M101" i="4"/>
  <c r="O100" i="4"/>
  <c r="M100" i="4"/>
  <c r="L100" i="4"/>
  <c r="P100" i="4" s="1"/>
  <c r="R100" i="4" s="1"/>
  <c r="S100" i="4" s="1"/>
  <c r="O99" i="4"/>
  <c r="M99" i="4"/>
  <c r="O98" i="4"/>
  <c r="M98" i="4"/>
  <c r="L98" i="4"/>
  <c r="P98" i="4" s="1"/>
  <c r="R98" i="4" s="1"/>
  <c r="S98" i="4" s="1"/>
  <c r="O97" i="4"/>
  <c r="M97" i="4"/>
  <c r="O96" i="4"/>
  <c r="M96" i="4"/>
  <c r="O94" i="4"/>
  <c r="M93" i="4"/>
  <c r="M91" i="4"/>
  <c r="O90" i="4"/>
  <c r="O89" i="4"/>
  <c r="M89" i="4"/>
  <c r="P89" i="4" s="1"/>
  <c r="R89" i="4" s="1"/>
  <c r="S89" i="4" s="1"/>
  <c r="L89" i="4"/>
  <c r="O86" i="4"/>
  <c r="O85" i="4"/>
  <c r="M85" i="4"/>
  <c r="O84" i="4"/>
  <c r="M83" i="4"/>
  <c r="M80" i="4"/>
  <c r="P80" i="4" s="1"/>
  <c r="R80" i="4" s="1"/>
  <c r="L80" i="4"/>
  <c r="M77" i="4"/>
  <c r="O75" i="4"/>
  <c r="M75" i="4"/>
  <c r="L74" i="4"/>
  <c r="M71" i="4"/>
  <c r="L71" i="4"/>
  <c r="P71" i="4" s="1"/>
  <c r="R71" i="4" s="1"/>
  <c r="O66" i="4"/>
  <c r="M66" i="4"/>
  <c r="P66" i="4" s="1"/>
  <c r="R66" i="4" s="1"/>
  <c r="S66" i="4" s="1"/>
  <c r="L66" i="4"/>
  <c r="L62" i="4"/>
  <c r="M59" i="4"/>
  <c r="P59" i="4" s="1"/>
  <c r="R59" i="4" s="1"/>
  <c r="L59" i="4"/>
  <c r="O58" i="4"/>
  <c r="L57" i="4"/>
  <c r="O53" i="4"/>
  <c r="M53" i="4"/>
  <c r="O52" i="4"/>
  <c r="L48" i="4"/>
  <c r="L39" i="4"/>
  <c r="M34" i="4"/>
  <c r="P34" i="4" s="1"/>
  <c r="R34" i="4" s="1"/>
  <c r="L34" i="4"/>
  <c r="O31" i="4"/>
  <c r="O30" i="4"/>
  <c r="M29" i="4"/>
  <c r="O28" i="4"/>
  <c r="M27" i="4"/>
  <c r="O26" i="4"/>
  <c r="O25" i="4"/>
  <c r="M25" i="4"/>
  <c r="P25" i="4" s="1"/>
  <c r="R25" i="4" s="1"/>
  <c r="S25" i="4" s="1"/>
  <c r="L25" i="4"/>
  <c r="O23" i="4"/>
  <c r="O20" i="4"/>
  <c r="M17" i="4"/>
  <c r="O16" i="4"/>
  <c r="M16" i="4"/>
  <c r="P16" i="4" s="1"/>
  <c r="L16" i="4"/>
  <c r="L7" i="4"/>
  <c r="O6" i="4"/>
  <c r="A1" i="4"/>
  <c r="F28" i="3"/>
  <c r="J28" i="3" s="1"/>
  <c r="J21" i="3"/>
  <c r="L21" i="3" s="1"/>
  <c r="M21" i="3" s="1"/>
  <c r="I21" i="3"/>
  <c r="O93" i="4" s="1"/>
  <c r="Q93" i="4" s="1"/>
  <c r="G21" i="3"/>
  <c r="G20" i="5" s="1"/>
  <c r="F21" i="3"/>
  <c r="I20" i="3"/>
  <c r="H19" i="5" s="1"/>
  <c r="G20" i="3"/>
  <c r="J20" i="3" s="1"/>
  <c r="L20" i="3" s="1"/>
  <c r="M20" i="3" s="1"/>
  <c r="I19" i="3"/>
  <c r="O87" i="4" s="1"/>
  <c r="G19" i="3"/>
  <c r="G18" i="5" s="1"/>
  <c r="I18" i="3"/>
  <c r="O61" i="4" s="1"/>
  <c r="G18" i="3"/>
  <c r="M61" i="4" s="1"/>
  <c r="I17" i="3"/>
  <c r="O47" i="4" s="1"/>
  <c r="G17" i="3"/>
  <c r="M47" i="4" s="1"/>
  <c r="F17" i="3"/>
  <c r="L16" i="3"/>
  <c r="M16" i="3" s="1"/>
  <c r="J16" i="3"/>
  <c r="I16" i="3"/>
  <c r="K16" i="3" s="1"/>
  <c r="G16" i="3"/>
  <c r="M70" i="4" s="1"/>
  <c r="I15" i="3"/>
  <c r="O29" i="4" s="1"/>
  <c r="G15" i="3"/>
  <c r="M84" i="4" s="1"/>
  <c r="I14" i="3"/>
  <c r="O92" i="4" s="1"/>
  <c r="G14" i="3"/>
  <c r="M92" i="4" s="1"/>
  <c r="I13" i="3"/>
  <c r="G13" i="3"/>
  <c r="J13" i="3" s="1"/>
  <c r="F13" i="3"/>
  <c r="I12" i="3"/>
  <c r="O38" i="4" s="1"/>
  <c r="G12" i="3"/>
  <c r="M13" i="4" s="1"/>
  <c r="I11" i="3"/>
  <c r="G11" i="3"/>
  <c r="G10" i="5" s="1"/>
  <c r="I10" i="3"/>
  <c r="O33" i="4" s="1"/>
  <c r="G10" i="3"/>
  <c r="G9" i="5" s="1"/>
  <c r="K9" i="3"/>
  <c r="J9" i="3"/>
  <c r="L9" i="3" s="1"/>
  <c r="M9" i="3" s="1"/>
  <c r="I9" i="3"/>
  <c r="H8" i="5" s="1"/>
  <c r="G9" i="3"/>
  <c r="M52" i="4" s="1"/>
  <c r="J8" i="3"/>
  <c r="K8" i="3" s="1"/>
  <c r="I8" i="3"/>
  <c r="O24" i="4" s="1"/>
  <c r="G8" i="3"/>
  <c r="M24" i="4" s="1"/>
  <c r="F8" i="3"/>
  <c r="I7" i="3"/>
  <c r="O79" i="4" s="1"/>
  <c r="G7" i="3"/>
  <c r="M20" i="4" s="1"/>
  <c r="J6" i="3"/>
  <c r="L6" i="3" s="1"/>
  <c r="I6" i="3"/>
  <c r="H5" i="5" s="1"/>
  <c r="G6" i="3"/>
  <c r="M58" i="4" s="1"/>
  <c r="A1" i="3"/>
  <c r="A1" i="2"/>
  <c r="B25" i="1"/>
  <c r="L93" i="4" s="1"/>
  <c r="P93" i="4" s="1"/>
  <c r="R93" i="4" s="1"/>
  <c r="B24" i="1"/>
  <c r="C7" i="13" s="1"/>
  <c r="L7" i="13" s="1"/>
  <c r="B23" i="1"/>
  <c r="B22" i="1"/>
  <c r="C6" i="13" s="1"/>
  <c r="L6" i="13" s="1"/>
  <c r="B21" i="1"/>
  <c r="C8" i="9" s="1"/>
  <c r="K8" i="9" s="1"/>
  <c r="B20" i="1"/>
  <c r="C7" i="11" s="1"/>
  <c r="K7" i="11" s="1"/>
  <c r="B19" i="1"/>
  <c r="B18" i="1"/>
  <c r="E21" i="5" s="1"/>
  <c r="B17" i="1"/>
  <c r="B16" i="1"/>
  <c r="B15" i="1"/>
  <c r="B14" i="1"/>
  <c r="B13" i="1"/>
  <c r="L75" i="4" s="1"/>
  <c r="M6" i="3" l="1"/>
  <c r="Q98" i="4"/>
  <c r="Q66" i="4"/>
  <c r="H15" i="7"/>
  <c r="H18" i="7" s="1"/>
  <c r="C5" i="14" s="1"/>
  <c r="C10" i="14" s="1"/>
  <c r="G4" i="8"/>
  <c r="G6" i="8" s="1"/>
  <c r="L28" i="3"/>
  <c r="M28" i="3" s="1"/>
  <c r="K28" i="3"/>
  <c r="S80" i="4"/>
  <c r="Q99" i="4"/>
  <c r="Q16" i="4"/>
  <c r="R16" i="4"/>
  <c r="S16" i="4" s="1"/>
  <c r="P58" i="4"/>
  <c r="R58" i="4" s="1"/>
  <c r="S58" i="4" s="1"/>
  <c r="Q25" i="4"/>
  <c r="J15" i="7"/>
  <c r="J18" i="7" s="1"/>
  <c r="H4" i="8"/>
  <c r="H6" i="8" s="1"/>
  <c r="P83" i="4"/>
  <c r="R83" i="4" s="1"/>
  <c r="S83" i="4" s="1"/>
  <c r="P84" i="4"/>
  <c r="R84" i="4" s="1"/>
  <c r="S84" i="4" s="1"/>
  <c r="Q26" i="4"/>
  <c r="P75" i="4"/>
  <c r="R75" i="4" s="1"/>
  <c r="S75" i="4" s="1"/>
  <c r="R103" i="4"/>
  <c r="S103" i="4" s="1"/>
  <c r="Q103" i="4"/>
  <c r="Q89" i="4"/>
  <c r="P77" i="4"/>
  <c r="R77" i="4" s="1"/>
  <c r="K13" i="3"/>
  <c r="L13" i="3"/>
  <c r="M13" i="3" s="1"/>
  <c r="S93" i="4"/>
  <c r="P91" i="4"/>
  <c r="R91" i="4" s="1"/>
  <c r="P61" i="4"/>
  <c r="R61" i="4" s="1"/>
  <c r="S61" i="4" s="1"/>
  <c r="Q100" i="4"/>
  <c r="Q75" i="4"/>
  <c r="P92" i="4"/>
  <c r="R92" i="4" s="1"/>
  <c r="S92" i="4" s="1"/>
  <c r="M11" i="4"/>
  <c r="H11" i="5"/>
  <c r="M7" i="4"/>
  <c r="P7" i="4" s="1"/>
  <c r="R7" i="4" s="1"/>
  <c r="O48" i="4"/>
  <c r="O80" i="4"/>
  <c r="Q80" i="4" s="1"/>
  <c r="L94" i="4"/>
  <c r="E12" i="5"/>
  <c r="L30" i="4"/>
  <c r="M39" i="4"/>
  <c r="P39" i="4" s="1"/>
  <c r="R39" i="4" s="1"/>
  <c r="J17" i="3"/>
  <c r="F22" i="3"/>
  <c r="J22" i="3" s="1"/>
  <c r="O7" i="4"/>
  <c r="Q7" i="4" s="1"/>
  <c r="L21" i="4"/>
  <c r="M30" i="4"/>
  <c r="P30" i="4" s="1"/>
  <c r="R30" i="4" s="1"/>
  <c r="S30" i="4" s="1"/>
  <c r="O39" i="4"/>
  <c r="Q39" i="4" s="1"/>
  <c r="L53" i="4"/>
  <c r="P53" i="4" s="1"/>
  <c r="M62" i="4"/>
  <c r="P62" i="4" s="1"/>
  <c r="R62" i="4" s="1"/>
  <c r="O71" i="4"/>
  <c r="Q71" i="4" s="1"/>
  <c r="L85" i="4"/>
  <c r="P85" i="4" s="1"/>
  <c r="M94" i="4"/>
  <c r="P94" i="4" s="1"/>
  <c r="R94" i="4" s="1"/>
  <c r="S94" i="4" s="1"/>
  <c r="G12" i="5"/>
  <c r="E23" i="5"/>
  <c r="L12" i="4"/>
  <c r="L44" i="4"/>
  <c r="O62" i="4"/>
  <c r="Q62" i="4" s="1"/>
  <c r="L76" i="4"/>
  <c r="M21" i="4"/>
  <c r="P21" i="4" s="1"/>
  <c r="R21" i="4" s="1"/>
  <c r="S21" i="4" s="1"/>
  <c r="O21" i="4"/>
  <c r="Q21" i="4" s="1"/>
  <c r="M44" i="4"/>
  <c r="P44" i="4" s="1"/>
  <c r="R44" i="4" s="1"/>
  <c r="S44" i="4" s="1"/>
  <c r="L67" i="4"/>
  <c r="L99" i="4"/>
  <c r="P99" i="4" s="1"/>
  <c r="R99" i="4" s="1"/>
  <c r="S99" i="4" s="1"/>
  <c r="E13" i="5"/>
  <c r="C9" i="13"/>
  <c r="L9" i="13" s="1"/>
  <c r="L10" i="13" s="1"/>
  <c r="M12" i="4"/>
  <c r="M76" i="4"/>
  <c r="L8" i="3"/>
  <c r="M8" i="3" s="1"/>
  <c r="F29" i="3"/>
  <c r="J29" i="3" s="1"/>
  <c r="O12" i="4"/>
  <c r="L26" i="4"/>
  <c r="M35" i="4"/>
  <c r="O44" i="4"/>
  <c r="L58" i="4"/>
  <c r="M67" i="4"/>
  <c r="P67" i="4" s="1"/>
  <c r="R67" i="4" s="1"/>
  <c r="O76" i="4"/>
  <c r="L90" i="4"/>
  <c r="G13" i="5"/>
  <c r="E24" i="5"/>
  <c r="L35" i="4"/>
  <c r="F18" i="3"/>
  <c r="L17" i="4"/>
  <c r="P17" i="4" s="1"/>
  <c r="R17" i="4" s="1"/>
  <c r="S17" i="4" s="1"/>
  <c r="M26" i="4"/>
  <c r="P26" i="4" s="1"/>
  <c r="R26" i="4" s="1"/>
  <c r="S26" i="4" s="1"/>
  <c r="O35" i="4"/>
  <c r="L49" i="4"/>
  <c r="O67" i="4"/>
  <c r="Q67" i="4" s="1"/>
  <c r="L81" i="4"/>
  <c r="M90" i="4"/>
  <c r="P90" i="4" s="1"/>
  <c r="R90" i="4" s="1"/>
  <c r="S90" i="4" s="1"/>
  <c r="H13" i="5"/>
  <c r="C6" i="12"/>
  <c r="K6" i="12" s="1"/>
  <c r="K10" i="12" s="1"/>
  <c r="K12" i="12" s="1"/>
  <c r="D8" i="14" s="1"/>
  <c r="E8" i="14" s="1"/>
  <c r="F23" i="3"/>
  <c r="J23" i="3" s="1"/>
  <c r="L72" i="4"/>
  <c r="M81" i="4"/>
  <c r="E14" i="5"/>
  <c r="F9" i="3"/>
  <c r="L8" i="4"/>
  <c r="M8" i="4"/>
  <c r="O17" i="4"/>
  <c r="L31" i="4"/>
  <c r="M40" i="4"/>
  <c r="O49" i="4"/>
  <c r="L63" i="4"/>
  <c r="M72" i="4"/>
  <c r="O81" i="4"/>
  <c r="L95" i="4"/>
  <c r="G14" i="5"/>
  <c r="E25" i="5"/>
  <c r="L40" i="4"/>
  <c r="M49" i="4"/>
  <c r="J18" i="3"/>
  <c r="O8" i="4"/>
  <c r="L22" i="4"/>
  <c r="M31" i="4"/>
  <c r="P31" i="4" s="1"/>
  <c r="O40" i="4"/>
  <c r="L54" i="4"/>
  <c r="M63" i="4"/>
  <c r="P63" i="4" s="1"/>
  <c r="R63" i="4" s="1"/>
  <c r="S63" i="4" s="1"/>
  <c r="O72" i="4"/>
  <c r="L86" i="4"/>
  <c r="M95" i="4"/>
  <c r="P95" i="4" s="1"/>
  <c r="R95" i="4" s="1"/>
  <c r="S95" i="4" s="1"/>
  <c r="H14" i="5"/>
  <c r="C6" i="9"/>
  <c r="K6" i="9" s="1"/>
  <c r="K9" i="9" s="1"/>
  <c r="K11" i="9" s="1"/>
  <c r="D6" i="14" s="1"/>
  <c r="E6" i="14" s="1"/>
  <c r="C7" i="12"/>
  <c r="K7" i="12" s="1"/>
  <c r="F14" i="3"/>
  <c r="L13" i="4"/>
  <c r="P13" i="4" s="1"/>
  <c r="R13" i="4" s="1"/>
  <c r="S13" i="4" s="1"/>
  <c r="M22" i="4"/>
  <c r="L45" i="4"/>
  <c r="M54" i="4"/>
  <c r="O63" i="4"/>
  <c r="L77" i="4"/>
  <c r="M86" i="4"/>
  <c r="O95" i="4"/>
  <c r="E15" i="5"/>
  <c r="M45" i="4"/>
  <c r="P45" i="4" s="1"/>
  <c r="R45" i="4" s="1"/>
  <c r="O13" i="4"/>
  <c r="L82" i="4"/>
  <c r="L91" i="4"/>
  <c r="J14" i="3"/>
  <c r="L14" i="3" s="1"/>
  <c r="M14" i="3" s="1"/>
  <c r="F10" i="3"/>
  <c r="K14" i="3"/>
  <c r="L9" i="4"/>
  <c r="M18" i="4"/>
  <c r="O27" i="4"/>
  <c r="L41" i="4"/>
  <c r="M50" i="4"/>
  <c r="O59" i="4"/>
  <c r="Q59" i="4" s="1"/>
  <c r="L73" i="4"/>
  <c r="M82" i="4"/>
  <c r="P82" i="4" s="1"/>
  <c r="R82" i="4" s="1"/>
  <c r="S82" i="4" s="1"/>
  <c r="O91" i="4"/>
  <c r="Q91" i="4" s="1"/>
  <c r="G16" i="5"/>
  <c r="E27" i="5"/>
  <c r="O57" i="4"/>
  <c r="Q57" i="4" s="1"/>
  <c r="O22" i="4"/>
  <c r="M36" i="4"/>
  <c r="P36" i="4" s="1"/>
  <c r="R36" i="4" s="1"/>
  <c r="S36" i="4" s="1"/>
  <c r="O77" i="4"/>
  <c r="Q77" i="4" s="1"/>
  <c r="L50" i="4"/>
  <c r="O68" i="4"/>
  <c r="M9" i="4"/>
  <c r="L32" i="4"/>
  <c r="L64" i="4"/>
  <c r="M73" i="4"/>
  <c r="O82" i="4"/>
  <c r="E6" i="5"/>
  <c r="H16" i="5"/>
  <c r="C9" i="12"/>
  <c r="K9" i="12" s="1"/>
  <c r="O43" i="4"/>
  <c r="J12" i="3"/>
  <c r="L12" i="3" s="1"/>
  <c r="M12" i="3" s="1"/>
  <c r="E16" i="5"/>
  <c r="O18" i="4"/>
  <c r="M41" i="4"/>
  <c r="O50" i="4"/>
  <c r="L96" i="4"/>
  <c r="P96" i="4" s="1"/>
  <c r="J19" i="3"/>
  <c r="L19" i="3" s="1"/>
  <c r="M19" i="3" s="1"/>
  <c r="O9" i="4"/>
  <c r="L23" i="4"/>
  <c r="M32" i="4"/>
  <c r="P32" i="4" s="1"/>
  <c r="R32" i="4" s="1"/>
  <c r="S32" i="4" s="1"/>
  <c r="O41" i="4"/>
  <c r="L55" i="4"/>
  <c r="M64" i="4"/>
  <c r="P64" i="4" s="1"/>
  <c r="R64" i="4" s="1"/>
  <c r="S64" i="4" s="1"/>
  <c r="O73" i="4"/>
  <c r="L87" i="4"/>
  <c r="G6" i="5"/>
  <c r="E17" i="5"/>
  <c r="L36" i="4"/>
  <c r="J10" i="3"/>
  <c r="F15" i="3"/>
  <c r="K19" i="3"/>
  <c r="F25" i="3"/>
  <c r="J25" i="3" s="1"/>
  <c r="L14" i="4"/>
  <c r="M23" i="4"/>
  <c r="O32" i="4"/>
  <c r="L46" i="4"/>
  <c r="M55" i="4"/>
  <c r="O64" i="4"/>
  <c r="L78" i="4"/>
  <c r="M87" i="4"/>
  <c r="H6" i="5"/>
  <c r="G17" i="5"/>
  <c r="E28" i="5"/>
  <c r="O54" i="4"/>
  <c r="F6" i="3"/>
  <c r="L5" i="4"/>
  <c r="M14" i="4"/>
  <c r="L37" i="4"/>
  <c r="M46" i="4"/>
  <c r="P46" i="4" s="1"/>
  <c r="R46" i="4" s="1"/>
  <c r="O55" i="4"/>
  <c r="L69" i="4"/>
  <c r="M78" i="4"/>
  <c r="P78" i="4" s="1"/>
  <c r="R78" i="4" s="1"/>
  <c r="S78" i="4" s="1"/>
  <c r="L101" i="4"/>
  <c r="P101" i="4" s="1"/>
  <c r="E7" i="5"/>
  <c r="H17" i="5"/>
  <c r="O34" i="4"/>
  <c r="Q34" i="4" s="1"/>
  <c r="L18" i="4"/>
  <c r="O14" i="4"/>
  <c r="O46" i="4"/>
  <c r="Q46" i="4" s="1"/>
  <c r="E18" i="5"/>
  <c r="F19" i="3"/>
  <c r="O36" i="4"/>
  <c r="M5" i="4"/>
  <c r="P5" i="4" s="1"/>
  <c r="L28" i="4"/>
  <c r="M37" i="4"/>
  <c r="P37" i="4" s="1"/>
  <c r="R37" i="4" s="1"/>
  <c r="S37" i="4" s="1"/>
  <c r="L60" i="4"/>
  <c r="M69" i="4"/>
  <c r="O78" i="4"/>
  <c r="L92" i="4"/>
  <c r="G7" i="5"/>
  <c r="J15" i="3"/>
  <c r="F20" i="3"/>
  <c r="O5" i="4"/>
  <c r="L19" i="4"/>
  <c r="M28" i="4"/>
  <c r="O37" i="4"/>
  <c r="L51" i="4"/>
  <c r="M60" i="4"/>
  <c r="P60" i="4" s="1"/>
  <c r="R60" i="4" s="1"/>
  <c r="O69" i="4"/>
  <c r="L83" i="4"/>
  <c r="H7" i="5"/>
  <c r="L27" i="4"/>
  <c r="P27" i="4" s="1"/>
  <c r="R27" i="4" s="1"/>
  <c r="S27" i="4" s="1"/>
  <c r="M19" i="4"/>
  <c r="P19" i="4" s="1"/>
  <c r="R19" i="4" s="1"/>
  <c r="S19" i="4" s="1"/>
  <c r="E8" i="5"/>
  <c r="G11" i="5"/>
  <c r="L68" i="4"/>
  <c r="F24" i="3"/>
  <c r="J24" i="3" s="1"/>
  <c r="O45" i="4"/>
  <c r="Q45" i="4" s="1"/>
  <c r="L42" i="4"/>
  <c r="O60" i="4"/>
  <c r="Q60" i="4" s="1"/>
  <c r="L33" i="4"/>
  <c r="O51" i="4"/>
  <c r="Q51" i="4" s="1"/>
  <c r="L65" i="4"/>
  <c r="M74" i="4"/>
  <c r="P74" i="4" s="1"/>
  <c r="R74" i="4" s="1"/>
  <c r="S74" i="4" s="1"/>
  <c r="L97" i="4"/>
  <c r="P97" i="4" s="1"/>
  <c r="G8" i="5"/>
  <c r="E19" i="5"/>
  <c r="C6" i="11"/>
  <c r="K6" i="11" s="1"/>
  <c r="K8" i="11" s="1"/>
  <c r="K15" i="11" s="1"/>
  <c r="D7" i="14" s="1"/>
  <c r="E7" i="14" s="1"/>
  <c r="M57" i="4"/>
  <c r="P57" i="4" s="1"/>
  <c r="R57" i="4" s="1"/>
  <c r="M68" i="4"/>
  <c r="F11" i="3"/>
  <c r="K6" i="3"/>
  <c r="F26" i="3"/>
  <c r="J26" i="3" s="1"/>
  <c r="O19" i="4"/>
  <c r="L56" i="4"/>
  <c r="M65" i="4"/>
  <c r="O74" i="4"/>
  <c r="L88" i="4"/>
  <c r="G19" i="5"/>
  <c r="K21" i="3"/>
  <c r="M48" i="4"/>
  <c r="P48" i="4" s="1"/>
  <c r="R48" i="4" s="1"/>
  <c r="S48" i="4" s="1"/>
  <c r="L10" i="4"/>
  <c r="M51" i="4"/>
  <c r="P51" i="4" s="1"/>
  <c r="R51" i="4" s="1"/>
  <c r="M10" i="4"/>
  <c r="P10" i="4" s="1"/>
  <c r="R10" i="4" s="1"/>
  <c r="M42" i="4"/>
  <c r="O83" i="4"/>
  <c r="O10" i="4"/>
  <c r="Q10" i="4" s="1"/>
  <c r="L24" i="4"/>
  <c r="P24" i="4" s="1"/>
  <c r="M33" i="4"/>
  <c r="O42" i="4"/>
  <c r="J11" i="3"/>
  <c r="F16" i="3"/>
  <c r="K20" i="3"/>
  <c r="L15" i="4"/>
  <c r="L47" i="4"/>
  <c r="P47" i="4" s="1"/>
  <c r="M56" i="4"/>
  <c r="P56" i="4" s="1"/>
  <c r="R56" i="4" s="1"/>
  <c r="S56" i="4" s="1"/>
  <c r="O65" i="4"/>
  <c r="L79" i="4"/>
  <c r="M88" i="4"/>
  <c r="P88" i="4" s="1"/>
  <c r="R88" i="4" s="1"/>
  <c r="S88" i="4" s="1"/>
  <c r="E9" i="5"/>
  <c r="E5" i="5"/>
  <c r="F7" i="3"/>
  <c r="L6" i="4"/>
  <c r="M15" i="4"/>
  <c r="L38" i="4"/>
  <c r="O56" i="4"/>
  <c r="L70" i="4"/>
  <c r="P70" i="4" s="1"/>
  <c r="R70" i="4" s="1"/>
  <c r="S70" i="4" s="1"/>
  <c r="M79" i="4"/>
  <c r="O88" i="4"/>
  <c r="L102" i="4"/>
  <c r="P102" i="4" s="1"/>
  <c r="E20" i="5"/>
  <c r="M6" i="4"/>
  <c r="O15" i="4"/>
  <c r="L29" i="4"/>
  <c r="P29" i="4" s="1"/>
  <c r="R29" i="4" s="1"/>
  <c r="S29" i="4" s="1"/>
  <c r="M38" i="4"/>
  <c r="P38" i="4" s="1"/>
  <c r="R38" i="4" s="1"/>
  <c r="S38" i="4" s="1"/>
  <c r="L61" i="4"/>
  <c r="F27" i="3"/>
  <c r="J27" i="3" s="1"/>
  <c r="L20" i="4"/>
  <c r="P20" i="4" s="1"/>
  <c r="L84" i="4"/>
  <c r="E10" i="5"/>
  <c r="H20" i="5"/>
  <c r="M43" i="4"/>
  <c r="O11" i="4"/>
  <c r="L52" i="4"/>
  <c r="P52" i="4" s="1"/>
  <c r="O70" i="4"/>
  <c r="J7" i="3"/>
  <c r="F12" i="3"/>
  <c r="L11" i="4"/>
  <c r="L43" i="4"/>
  <c r="R85" i="4" l="1"/>
  <c r="S85" i="4" s="1"/>
  <c r="Q85" i="4"/>
  <c r="R47" i="4"/>
  <c r="S47" i="4" s="1"/>
  <c r="Q47" i="4"/>
  <c r="R24" i="4"/>
  <c r="S24" i="4" s="1"/>
  <c r="Q24" i="4"/>
  <c r="R52" i="4"/>
  <c r="S52" i="4" s="1"/>
  <c r="Q52" i="4"/>
  <c r="R53" i="4"/>
  <c r="S53" i="4" s="1"/>
  <c r="Q53" i="4"/>
  <c r="R20" i="4"/>
  <c r="S20" i="4" s="1"/>
  <c r="Q20" i="4"/>
  <c r="L23" i="3"/>
  <c r="M23" i="3" s="1"/>
  <c r="K23" i="3"/>
  <c r="R97" i="4"/>
  <c r="S97" i="4" s="1"/>
  <c r="Q97" i="4"/>
  <c r="J20" i="7"/>
  <c r="D5" i="14"/>
  <c r="E5" i="14" s="1"/>
  <c r="S91" i="4"/>
  <c r="Q35" i="4"/>
  <c r="Q90" i="4"/>
  <c r="Q84" i="4"/>
  <c r="P50" i="4"/>
  <c r="R50" i="4" s="1"/>
  <c r="S50" i="4" s="1"/>
  <c r="S62" i="4"/>
  <c r="S77" i="4"/>
  <c r="R5" i="4"/>
  <c r="P104" i="4"/>
  <c r="Q8" i="4"/>
  <c r="Q38" i="4"/>
  <c r="P43" i="4"/>
  <c r="R43" i="4" s="1"/>
  <c r="S43" i="4" s="1"/>
  <c r="Q27" i="4"/>
  <c r="L18" i="3"/>
  <c r="M18" i="3" s="1"/>
  <c r="K18" i="3"/>
  <c r="Q11" i="4"/>
  <c r="P18" i="4"/>
  <c r="R18" i="4" s="1"/>
  <c r="S18" i="4" s="1"/>
  <c r="P49" i="4"/>
  <c r="R49" i="4" s="1"/>
  <c r="S49" i="4" s="1"/>
  <c r="L25" i="3"/>
  <c r="M25" i="3" s="1"/>
  <c r="K25" i="3"/>
  <c r="L11" i="3"/>
  <c r="M11" i="3" s="1"/>
  <c r="K11" i="3"/>
  <c r="Q76" i="4"/>
  <c r="Q30" i="4"/>
  <c r="S59" i="4"/>
  <c r="P33" i="4"/>
  <c r="R96" i="4"/>
  <c r="S96" i="4" s="1"/>
  <c r="Q96" i="4"/>
  <c r="S67" i="4"/>
  <c r="Q69" i="4"/>
  <c r="P14" i="4"/>
  <c r="R14" i="4" s="1"/>
  <c r="S14" i="4" s="1"/>
  <c r="L22" i="3"/>
  <c r="M22" i="3" s="1"/>
  <c r="K22" i="3"/>
  <c r="L10" i="3"/>
  <c r="M10" i="3" s="1"/>
  <c r="K10" i="3"/>
  <c r="K30" i="3" s="1"/>
  <c r="S60" i="4"/>
  <c r="P41" i="4"/>
  <c r="R41" i="4" s="1"/>
  <c r="S41" i="4" s="1"/>
  <c r="Q44" i="4"/>
  <c r="L17" i="3"/>
  <c r="M17" i="3" s="1"/>
  <c r="K17" i="3"/>
  <c r="Q36" i="4"/>
  <c r="R101" i="4"/>
  <c r="S101" i="4" s="1"/>
  <c r="Q101" i="4"/>
  <c r="P35" i="4"/>
  <c r="R35" i="4" s="1"/>
  <c r="S35" i="4" s="1"/>
  <c r="S39" i="4"/>
  <c r="S51" i="4"/>
  <c r="Q54" i="4"/>
  <c r="P72" i="4"/>
  <c r="R72" i="4" s="1"/>
  <c r="S72" i="4" s="1"/>
  <c r="Q29" i="4"/>
  <c r="P6" i="4"/>
  <c r="Q74" i="4"/>
  <c r="P28" i="4"/>
  <c r="Q13" i="4"/>
  <c r="Q102" i="4"/>
  <c r="R102" i="4"/>
  <c r="S102" i="4" s="1"/>
  <c r="P79" i="4"/>
  <c r="S45" i="4"/>
  <c r="Q49" i="4"/>
  <c r="K29" i="3"/>
  <c r="L29" i="3"/>
  <c r="M29" i="3" s="1"/>
  <c r="Q68" i="4"/>
  <c r="Q65" i="4"/>
  <c r="Q31" i="4"/>
  <c r="R31" i="4"/>
  <c r="S31" i="4" s="1"/>
  <c r="Q83" i="4"/>
  <c r="P42" i="4"/>
  <c r="R42" i="4" s="1"/>
  <c r="S42" i="4" s="1"/>
  <c r="P40" i="4"/>
  <c r="R40" i="4" s="1"/>
  <c r="S40" i="4" s="1"/>
  <c r="S10" i="4"/>
  <c r="Q5" i="4"/>
  <c r="Q104" i="4" s="1"/>
  <c r="Q19" i="4"/>
  <c r="P87" i="4"/>
  <c r="Q95" i="4"/>
  <c r="P76" i="4"/>
  <c r="R76" i="4" s="1"/>
  <c r="S76" i="4" s="1"/>
  <c r="Q48" i="4"/>
  <c r="Q37" i="4"/>
  <c r="P65" i="4"/>
  <c r="R65" i="4" s="1"/>
  <c r="S65" i="4" s="1"/>
  <c r="L26" i="3"/>
  <c r="M26" i="3" s="1"/>
  <c r="K26" i="3"/>
  <c r="L15" i="3"/>
  <c r="M15" i="3" s="1"/>
  <c r="K15" i="3"/>
  <c r="P86" i="4"/>
  <c r="Q17" i="4"/>
  <c r="P12" i="4"/>
  <c r="R12" i="4" s="1"/>
  <c r="S12" i="4" s="1"/>
  <c r="S7" i="4"/>
  <c r="Q88" i="4"/>
  <c r="Q56" i="4"/>
  <c r="P15" i="4"/>
  <c r="R15" i="4" s="1"/>
  <c r="S15" i="4" s="1"/>
  <c r="Q64" i="4"/>
  <c r="Q82" i="4"/>
  <c r="P8" i="4"/>
  <c r="R8" i="4" s="1"/>
  <c r="S8" i="4" s="1"/>
  <c r="K12" i="3"/>
  <c r="L24" i="3"/>
  <c r="M24" i="3" s="1"/>
  <c r="K24" i="3"/>
  <c r="P55" i="4"/>
  <c r="R55" i="4" s="1"/>
  <c r="S55" i="4" s="1"/>
  <c r="P73" i="4"/>
  <c r="R73" i="4" s="1"/>
  <c r="S73" i="4" s="1"/>
  <c r="Q63" i="4"/>
  <c r="P11" i="4"/>
  <c r="R11" i="4" s="1"/>
  <c r="S11" i="4" s="1"/>
  <c r="S71" i="4"/>
  <c r="S46" i="4"/>
  <c r="P68" i="4"/>
  <c r="R68" i="4" s="1"/>
  <c r="S68" i="4" s="1"/>
  <c r="P54" i="4"/>
  <c r="R54" i="4" s="1"/>
  <c r="S54" i="4" s="1"/>
  <c r="S34" i="4"/>
  <c r="Q94" i="4"/>
  <c r="K27" i="3"/>
  <c r="L27" i="3"/>
  <c r="M27" i="3" s="1"/>
  <c r="Q78" i="4"/>
  <c r="H6" i="6"/>
  <c r="J6" i="6" s="1"/>
  <c r="G6" i="6"/>
  <c r="I6" i="6" s="1"/>
  <c r="S57" i="4"/>
  <c r="P69" i="4"/>
  <c r="R69" i="4" s="1"/>
  <c r="S69" i="4" s="1"/>
  <c r="Q32" i="4"/>
  <c r="Q58" i="4"/>
  <c r="K7" i="3"/>
  <c r="L7" i="3"/>
  <c r="J30" i="3"/>
  <c r="Q70" i="4"/>
  <c r="P23" i="4"/>
  <c r="P9" i="4"/>
  <c r="R9" i="4" s="1"/>
  <c r="S9" i="4" s="1"/>
  <c r="P22" i="4"/>
  <c r="R22" i="4" s="1"/>
  <c r="S22" i="4" s="1"/>
  <c r="P81" i="4"/>
  <c r="R81" i="4" s="1"/>
  <c r="S81" i="4" s="1"/>
  <c r="Q92" i="4"/>
  <c r="Q61" i="4"/>
  <c r="S5" i="4" l="1"/>
  <c r="S104" i="4" s="1"/>
  <c r="R104" i="4"/>
  <c r="O104" i="4" s="1"/>
  <c r="R23" i="4"/>
  <c r="S23" i="4" s="1"/>
  <c r="Q23" i="4"/>
  <c r="Q40" i="4"/>
  <c r="Q43" i="4"/>
  <c r="Q14" i="4"/>
  <c r="Q12" i="4"/>
  <c r="R28" i="4"/>
  <c r="S28" i="4" s="1"/>
  <c r="Q28" i="4"/>
  <c r="R33" i="4"/>
  <c r="S33" i="4" s="1"/>
  <c r="Q33" i="4"/>
  <c r="Q42" i="4"/>
  <c r="R6" i="4"/>
  <c r="S6" i="4" s="1"/>
  <c r="Q6" i="4"/>
  <c r="Q55" i="4"/>
  <c r="M7" i="3"/>
  <c r="M30" i="3" s="1"/>
  <c r="M35" i="3" s="1"/>
  <c r="L30" i="3"/>
  <c r="J7" i="6"/>
  <c r="J10" i="6" s="1"/>
  <c r="J12" i="6" s="1"/>
  <c r="F4" i="8"/>
  <c r="Q9" i="4"/>
  <c r="Q41" i="4"/>
  <c r="Q81" i="4"/>
  <c r="R79" i="4"/>
  <c r="S79" i="4" s="1"/>
  <c r="Q79" i="4"/>
  <c r="R87" i="4"/>
  <c r="S87" i="4" s="1"/>
  <c r="Q87" i="4"/>
  <c r="Q18" i="4"/>
  <c r="Q22" i="4"/>
  <c r="R86" i="4"/>
  <c r="S86" i="4" s="1"/>
  <c r="Q86" i="4"/>
  <c r="Q15" i="4"/>
  <c r="Q73" i="4"/>
  <c r="Q50" i="4"/>
  <c r="E4" i="8"/>
  <c r="E6" i="8" s="1"/>
  <c r="B4" i="14" s="1"/>
  <c r="B10" i="14" s="1"/>
  <c r="B12" i="14" s="1"/>
  <c r="I7" i="6"/>
  <c r="I10" i="6" s="1"/>
  <c r="Q72" i="4"/>
  <c r="F6" i="8" l="1"/>
  <c r="D4" i="14" s="1"/>
  <c r="I4" i="8"/>
  <c r="L35" i="3"/>
  <c r="I32" i="3"/>
  <c r="F6" i="6" s="1"/>
  <c r="I6" i="8" l="1"/>
  <c r="J4" i="8"/>
  <c r="J6" i="8" s="1"/>
  <c r="D10" i="14"/>
  <c r="E10" i="14" s="1"/>
  <c r="E4" i="14"/>
</calcChain>
</file>

<file path=xl/sharedStrings.xml><?xml version="1.0" encoding="utf-8"?>
<sst xmlns="http://schemas.openxmlformats.org/spreadsheetml/2006/main" count="1904" uniqueCount="521">
  <si>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</si>
  <si>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</si>
  <si>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</si>
  <si>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</si>
  <si>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</si>
  <si>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</si>
  <si>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</si>
  <si>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</si>
  <si>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</si>
  <si>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</si>
  <si>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</si>
  <si>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200J</t>
  </si>
  <si>
    <t>3W</t>
  </si>
  <si>
    <t>2W</t>
  </si>
  <si>
    <t>1W</t>
  </si>
  <si>
    <t>26J</t>
  </si>
  <si>
    <t>12J</t>
  </si>
  <si>
    <t>6J</t>
  </si>
  <si>
    <t>4J</t>
  </si>
  <si>
    <t>3J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</si>
  <si>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</si>
  <si>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</si>
  <si>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</si>
  <si>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</si>
  <si>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</si>
  <si>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</si>
  <si>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</si>
  <si>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</si>
  <si>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</si>
  <si>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</si>
  <si>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</si>
  <si>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BHB</t>
  </si>
  <si>
    <t xml:space="preserve">B    </t>
  </si>
  <si>
    <t>Bureauruimte harde vloeren basis</t>
  </si>
  <si>
    <t>m²/uur</t>
  </si>
  <si>
    <t>BHV</t>
  </si>
  <si>
    <t>Bureauruimte harde vloeren (volledig)</t>
  </si>
  <si>
    <t>BZB</t>
  </si>
  <si>
    <t>Bureauruimte zachte vloeren basis</t>
  </si>
  <si>
    <t>BZV</t>
  </si>
  <si>
    <t>Bureauruimte zachte vloeren (volledig)</t>
  </si>
  <si>
    <t>DHB</t>
  </si>
  <si>
    <t xml:space="preserve">S    </t>
  </si>
  <si>
    <t>Douche/wasruimte - harde vloeren basis</t>
  </si>
  <si>
    <t>DHV</t>
  </si>
  <si>
    <t>Douche/wasruimte - harde vloeren (volledig)</t>
  </si>
  <si>
    <t>KHB</t>
  </si>
  <si>
    <t>Kleedruimte - harde vloeren basis</t>
  </si>
  <si>
    <t>KHV</t>
  </si>
  <si>
    <t>Kleedruimte - harde vloeren (volledig)</t>
  </si>
  <si>
    <t>SHB</t>
  </si>
  <si>
    <t>Sanitaire ruimte basis</t>
  </si>
  <si>
    <t>SHV</t>
  </si>
  <si>
    <t>Sanitaire ruimte (volledig)</t>
  </si>
  <si>
    <t>EZB</t>
  </si>
  <si>
    <t xml:space="preserve">V    </t>
  </si>
  <si>
    <t>Entree - zachte vloeren basis</t>
  </si>
  <si>
    <t>EZV</t>
  </si>
  <si>
    <t>Entree - zachte vloeren (volledig)</t>
  </si>
  <si>
    <t>IHB</t>
  </si>
  <si>
    <t>Lift - harde vloeren (basis)</t>
  </si>
  <si>
    <t>IHV</t>
  </si>
  <si>
    <t>Lift - harde vloeren (volledig)</t>
  </si>
  <si>
    <t>LHB</t>
  </si>
  <si>
    <t>Laboratorium - hard (basis)</t>
  </si>
  <si>
    <t>LHV</t>
  </si>
  <si>
    <t>Laboratorium - hard (volledig)</t>
  </si>
  <si>
    <t>QHB</t>
  </si>
  <si>
    <t>Buiten entree hader vloeren (basis)</t>
  </si>
  <si>
    <t>QHV</t>
  </si>
  <si>
    <t>Buiten entree harde vloeren (volledig)</t>
  </si>
  <si>
    <t>RHB</t>
  </si>
  <si>
    <t>Personeelsrestaurant/kantine harde voeren basis</t>
  </si>
  <si>
    <t>RHV</t>
  </si>
  <si>
    <t>Personeelsrestaurant/kantine harde vloeren (volledig)</t>
  </si>
  <si>
    <t>THB</t>
  </si>
  <si>
    <t>Trappenhuis harde vloeren basis</t>
  </si>
  <si>
    <t>THV</t>
  </si>
  <si>
    <t>Trappenhuis harde vloeren (volledig)</t>
  </si>
  <si>
    <t>TZB</t>
  </si>
  <si>
    <t>Trappenhuis zachte vloeren vloeren (basis)</t>
  </si>
  <si>
    <t>TZV</t>
  </si>
  <si>
    <t>Trappenhuis zachte vloeren vloeren (volledig)</t>
  </si>
  <si>
    <t>VHB</t>
  </si>
  <si>
    <t>Verkeersruimte/garderobe/repro harde vloeren basis</t>
  </si>
  <si>
    <t>VHV</t>
  </si>
  <si>
    <t>Verkeersruimte/garderobe/repro harde vloeren (volledig)</t>
  </si>
  <si>
    <t>VZB</t>
  </si>
  <si>
    <t>Verkeersruimte/garderobe/repro zachte vloeren (basis)</t>
  </si>
  <si>
    <t>VZV</t>
  </si>
  <si>
    <t>Verkeersruimte/garderobe/repro zachte vloeren (volledig)</t>
  </si>
  <si>
    <t>WZB</t>
  </si>
  <si>
    <t>Receptie/ontvangst/wachtruimte zachte vloeren basis</t>
  </si>
  <si>
    <t>WZV</t>
  </si>
  <si>
    <t>Receptie/ontvangst/wachtruimte zachte vloeren (volledig)</t>
  </si>
  <si>
    <t>XBB</t>
  </si>
  <si>
    <t xml:space="preserve">X    </t>
  </si>
  <si>
    <t>Periodiek vloeren beschermd (basis)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</si>
  <si>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</si>
  <si>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</si>
  <si>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</si>
  <si>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</si>
  <si>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</si>
  <si>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</si>
  <si>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</si>
  <si>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</si>
  <si>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BH</t>
  </si>
  <si>
    <t>interieur</t>
  </si>
  <si>
    <t>Kantoorruimte harde vloeren</t>
  </si>
  <si>
    <t>BZ</t>
  </si>
  <si>
    <t>Kantoorruimte zachte vloeren</t>
  </si>
  <si>
    <t>DH</t>
  </si>
  <si>
    <t>Douche/wasruimte harde vloeren</t>
  </si>
  <si>
    <t>EZ</t>
  </si>
  <si>
    <t>Entree zachte vloeren</t>
  </si>
  <si>
    <t>IH</t>
  </si>
  <si>
    <t>Lift harde vloeren</t>
  </si>
  <si>
    <t>KH</t>
  </si>
  <si>
    <t>Kleedruimte harde vloeren</t>
  </si>
  <si>
    <t>LH</t>
  </si>
  <si>
    <t>Laboratorium harde vloeren</t>
  </si>
  <si>
    <t>QH</t>
  </si>
  <si>
    <t>Buiten entree harde vloeren</t>
  </si>
  <si>
    <t>RH</t>
  </si>
  <si>
    <t>Personeelsrestaurant/kantine/ontmoetingsruimte harde vloeren</t>
  </si>
  <si>
    <t>SH</t>
  </si>
  <si>
    <t>Sanitaire ruimte/toiletten</t>
  </si>
  <si>
    <t>TH</t>
  </si>
  <si>
    <t>Trappenhuis harde vloeren</t>
  </si>
  <si>
    <t>TZ</t>
  </si>
  <si>
    <t>Trappenhuis zachte vloeren</t>
  </si>
  <si>
    <t>VH</t>
  </si>
  <si>
    <t>Verkeersruimte/gaderobe/repro harde vloeren</t>
  </si>
  <si>
    <t>VZ</t>
  </si>
  <si>
    <t>Verkeersruimte/garderobe/repro zachte vloeren</t>
  </si>
  <si>
    <t>WZ</t>
  </si>
  <si>
    <t>Receptie/wachtruimte zachte vloeren</t>
  </si>
  <si>
    <t>XB</t>
  </si>
  <si>
    <t>Periodiek beschermde vloeren</t>
  </si>
  <si>
    <t>Z001</t>
  </si>
  <si>
    <t>vloer</t>
  </si>
  <si>
    <t>Wassen, drogen en opvouwen labjassen</t>
  </si>
  <si>
    <t>min./keer</t>
  </si>
  <si>
    <t>Z002</t>
  </si>
  <si>
    <t>Glaswerk labs wassen en in droogkast zetten</t>
  </si>
  <si>
    <t>Z003</t>
  </si>
  <si>
    <t>Koffieautomaat reinigen/bijvullen</t>
  </si>
  <si>
    <t>Z004</t>
  </si>
  <si>
    <t>Binnenzijde keukenkastjes reinigen</t>
  </si>
  <si>
    <t>Z005</t>
  </si>
  <si>
    <t>Reinigen koelkasten</t>
  </si>
  <si>
    <t>Z006</t>
  </si>
  <si>
    <t>Magnetron reinigen</t>
  </si>
  <si>
    <t>Z007</t>
  </si>
  <si>
    <t>2 tosti ijzers reinigen</t>
  </si>
  <si>
    <t>Z008</t>
  </si>
  <si>
    <t>Buitenterrein zwerfvuil verwijderen (straal 5 meter rondom pand)</t>
  </si>
  <si>
    <t xml:space="preserve">Totaal werkdag             </t>
  </si>
  <si>
    <t xml:space="preserve">Gemiddeld uurtarief werkdag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</si>
  <si>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</si>
  <si>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</si>
  <si>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</si>
  <si>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</si>
  <si>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</si>
  <si>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</si>
  <si>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</si>
  <si>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</si>
  <si>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DAG-KRACHT</t>
  </si>
  <si>
    <t>001 - Stichting Waterproef, Dijkgraaf Poschlaan 6, Edam</t>
  </si>
  <si>
    <t>001</t>
  </si>
  <si>
    <t/>
  </si>
  <si>
    <t>00</t>
  </si>
  <si>
    <t>0.01</t>
  </si>
  <si>
    <t>Achter-entree</t>
  </si>
  <si>
    <t>tapijt/mat</t>
  </si>
  <si>
    <t>0.02a</t>
  </si>
  <si>
    <t>Gang (vanaf 0.17 t/m 0.19)</t>
  </si>
  <si>
    <t>pvc</t>
  </si>
  <si>
    <t>0.02b</t>
  </si>
  <si>
    <t>Gang (vanaf Lift tot 0.1)</t>
  </si>
  <si>
    <t>0.02c</t>
  </si>
  <si>
    <t>Gang (vanaf 0.28 t/m 0.34)</t>
  </si>
  <si>
    <t>0.03</t>
  </si>
  <si>
    <t>Gang (vanaf 0.13 t/m 0.15)</t>
  </si>
  <si>
    <t>0.04a</t>
  </si>
  <si>
    <t>Lab./ Aut.anal.</t>
  </si>
  <si>
    <t>0.04b</t>
  </si>
  <si>
    <t>0.05a</t>
  </si>
  <si>
    <t>Lab./ Gang doorloop</t>
  </si>
  <si>
    <t>0.05b</t>
  </si>
  <si>
    <t>0.06</t>
  </si>
  <si>
    <t>Trappenhuis</t>
  </si>
  <si>
    <t>pvc / hout</t>
  </si>
  <si>
    <t>0.07</t>
  </si>
  <si>
    <t>Kantoor</t>
  </si>
  <si>
    <t>tapijt</t>
  </si>
  <si>
    <t>0.09</t>
  </si>
  <si>
    <t>Printerruimte</t>
  </si>
  <si>
    <t>0.10</t>
  </si>
  <si>
    <t>0.11</t>
  </si>
  <si>
    <t>0.17</t>
  </si>
  <si>
    <t>0.18</t>
  </si>
  <si>
    <t>0.19</t>
  </si>
  <si>
    <t>Lab. / Uitwerkr. anal.</t>
  </si>
  <si>
    <t>0.20</t>
  </si>
  <si>
    <t>Lab. / Autoclaaf</t>
  </si>
  <si>
    <t>0.21</t>
  </si>
  <si>
    <t>Voorruimte / kleedr.ds.</t>
  </si>
  <si>
    <t>tegels</t>
  </si>
  <si>
    <t>0.21a</t>
  </si>
  <si>
    <t>Doucheruimte ds.</t>
  </si>
  <si>
    <t>0.21b</t>
  </si>
  <si>
    <t>Toiletruimte ds.</t>
  </si>
  <si>
    <t>0.23</t>
  </si>
  <si>
    <t>Voorruimte hr.</t>
  </si>
  <si>
    <t>0.23a</t>
  </si>
  <si>
    <t>Toiletruimte hr.</t>
  </si>
  <si>
    <t>0.23b</t>
  </si>
  <si>
    <t>0.24</t>
  </si>
  <si>
    <t>Voorruimte ds.</t>
  </si>
  <si>
    <t>0.24a</t>
  </si>
  <si>
    <t>0.24b</t>
  </si>
  <si>
    <t>0.25a</t>
  </si>
  <si>
    <t>Trap naar 1e etage (naast lift)</t>
  </si>
  <si>
    <t>vinyl</t>
  </si>
  <si>
    <t>0.26</t>
  </si>
  <si>
    <t>Lift</t>
  </si>
  <si>
    <t>linoleum</t>
  </si>
  <si>
    <t>0.28</t>
  </si>
  <si>
    <t>Lab./ Chlorofyl /bzy</t>
  </si>
  <si>
    <t>0.29</t>
  </si>
  <si>
    <t>Lab./ Bac.C1</t>
  </si>
  <si>
    <t>0.30</t>
  </si>
  <si>
    <t>Lab./ Spoelkeuken</t>
  </si>
  <si>
    <t>0.31</t>
  </si>
  <si>
    <t>Lab./ Fysisch-chem.</t>
  </si>
  <si>
    <t>0.32</t>
  </si>
  <si>
    <t>Kantoor / uitwerkr. analisten</t>
  </si>
  <si>
    <t>0.33</t>
  </si>
  <si>
    <t>Lab. / Bac.</t>
  </si>
  <si>
    <t>0.34</t>
  </si>
  <si>
    <t>Lab. / Milieu box</t>
  </si>
  <si>
    <t>0.35</t>
  </si>
  <si>
    <t>Lab. / Kantoor</t>
  </si>
  <si>
    <t>0.36</t>
  </si>
  <si>
    <t>Lab. / Hal rijk</t>
  </si>
  <si>
    <t>0.37</t>
  </si>
  <si>
    <t>Lab. / Spoelkeuken</t>
  </si>
  <si>
    <t>0.38</t>
  </si>
  <si>
    <t>Lab. / Hal vrij</t>
  </si>
  <si>
    <t>0.39</t>
  </si>
  <si>
    <t>0.39a</t>
  </si>
  <si>
    <t>Trappenhuis achterzijde</t>
  </si>
  <si>
    <t>tapijt/mat/hout</t>
  </si>
  <si>
    <t>0.44</t>
  </si>
  <si>
    <t>Lab. / Meetr. chrom</t>
  </si>
  <si>
    <t>0.45</t>
  </si>
  <si>
    <t>Kantoor / Organ.</t>
  </si>
  <si>
    <t>0.46</t>
  </si>
  <si>
    <t>Lab. / Met.opw.</t>
  </si>
  <si>
    <t>0.47</t>
  </si>
  <si>
    <t>Lab./ Met. meetr</t>
  </si>
  <si>
    <t>0.49</t>
  </si>
  <si>
    <t>Entree / hoofdingang</t>
  </si>
  <si>
    <t>tegels /mat</t>
  </si>
  <si>
    <t>0.49a</t>
  </si>
  <si>
    <t>Buitenbordes / hoofdingang</t>
  </si>
  <si>
    <t>steen</t>
  </si>
  <si>
    <t>0.50</t>
  </si>
  <si>
    <t>Lab./ Bemonstering / voorbew.</t>
  </si>
  <si>
    <t>0.51</t>
  </si>
  <si>
    <t>Kantoor / Receptie</t>
  </si>
  <si>
    <t>0.52</t>
  </si>
  <si>
    <t>Lab. / Grav.metrie</t>
  </si>
  <si>
    <t>0.54</t>
  </si>
  <si>
    <t>Lab. / Grav. Schrijfruimte</t>
  </si>
  <si>
    <t>0.55</t>
  </si>
  <si>
    <t>0.56</t>
  </si>
  <si>
    <t>Trappenhuis / achterzijde</t>
  </si>
  <si>
    <t>tapijt /beton</t>
  </si>
  <si>
    <t>01</t>
  </si>
  <si>
    <t>1.03</t>
  </si>
  <si>
    <t>Gang (vóór 1.6 &amp; 1.7)</t>
  </si>
  <si>
    <t>1.04</t>
  </si>
  <si>
    <t>Gang (vóór trap &amp; lift)</t>
  </si>
  <si>
    <t>1.06</t>
  </si>
  <si>
    <t>Kantoor / Vergaderruimte</t>
  </si>
  <si>
    <t>1.07</t>
  </si>
  <si>
    <t>1.08</t>
  </si>
  <si>
    <t>1.10a</t>
  </si>
  <si>
    <t>Gang / Bordes</t>
  </si>
  <si>
    <t>1.11a</t>
  </si>
  <si>
    <t>Trappenhuis / Bordes</t>
  </si>
  <si>
    <t>1.12</t>
  </si>
  <si>
    <t>1.14</t>
  </si>
  <si>
    <t>Gang (vanaf 1.9 t/m 1.16)</t>
  </si>
  <si>
    <t>1.16</t>
  </si>
  <si>
    <t>1.17</t>
  </si>
  <si>
    <t>1.18</t>
  </si>
  <si>
    <t>1.19</t>
  </si>
  <si>
    <t>1.20</t>
  </si>
  <si>
    <t>1.21</t>
  </si>
  <si>
    <t>1.22</t>
  </si>
  <si>
    <t>1.23</t>
  </si>
  <si>
    <t>Gang (na 1.22 tot 1.50)</t>
  </si>
  <si>
    <t>1.23a</t>
  </si>
  <si>
    <t>Voorruimte</t>
  </si>
  <si>
    <t>1.23b</t>
  </si>
  <si>
    <t>Toiletruimtre</t>
  </si>
  <si>
    <t>1.23c</t>
  </si>
  <si>
    <t>Doucheruimte</t>
  </si>
  <si>
    <t>1.24</t>
  </si>
  <si>
    <t>Gang (vanaf 1.12 t/m 1.15)</t>
  </si>
  <si>
    <t>1.25a</t>
  </si>
  <si>
    <t>1.25b</t>
  </si>
  <si>
    <t>1.26a</t>
  </si>
  <si>
    <t>1.26b</t>
  </si>
  <si>
    <t>Toiletruimte ds. / miva</t>
  </si>
  <si>
    <t>1.50</t>
  </si>
  <si>
    <t>Kantine incl. pantry</t>
  </si>
  <si>
    <t>1.51a</t>
  </si>
  <si>
    <t>EXT</t>
  </si>
  <si>
    <t>Extra werkzaamheden</t>
  </si>
  <si>
    <t>Totaal werkdag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</si>
  <si>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</si>
  <si>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</si>
  <si>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</si>
  <si>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</si>
  <si>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</si>
  <si>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</si>
  <si>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</si>
  <si>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001</t>
  </si>
  <si>
    <t>werkdag</t>
  </si>
  <si>
    <t>NAAM</t>
  </si>
  <si>
    <t>ADRES</t>
  </si>
  <si>
    <t>PLAATS</t>
  </si>
  <si>
    <t>BASIS UUR- TARIEF</t>
  </si>
  <si>
    <t>UREN/ UITVOERING</t>
  </si>
  <si>
    <t>PRIJS/ UITVOERING</t>
  </si>
  <si>
    <t>PRIJS/ JAAR (EURO)</t>
  </si>
  <si>
    <t>Stichting Waterproef</t>
  </si>
  <si>
    <t>Dijkgraaf Poschlaan 6</t>
  </si>
  <si>
    <t>Edam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</si>
  <si>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</si>
  <si>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</si>
  <si>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</si>
  <si>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</si>
  <si>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</si>
  <si>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</si>
  <si>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</si>
  <si>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</si>
  <si>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</si>
  <si>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</si>
  <si>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1000</t>
  </si>
  <si>
    <t>Objectleiding</t>
  </si>
  <si>
    <t>&lt;invullen functie afh. van uren uitvoering per jaar&gt;</t>
  </si>
  <si>
    <t>&lt;invullen functie met vaste uren per dag&gt;</t>
  </si>
  <si>
    <t>Totaal 001 - Stichting Waterproef, Dijkgraaf Poschlaan 6, Edam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</si>
  <si>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</si>
  <si>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</si>
  <si>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</si>
  <si>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</si>
  <si>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</si>
  <si>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</si>
  <si>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JAAR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</si>
  <si>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</si>
  <si>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</si>
  <si>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</si>
  <si>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</si>
  <si>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</si>
  <si>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</si>
  <si>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</si>
  <si>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</si>
  <si>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 xml:space="preserve">WEEKENDDAG          </t>
  </si>
  <si>
    <t>W3100</t>
  </si>
  <si>
    <t>Vloer schrobben/waterzuigen</t>
  </si>
  <si>
    <t>prijs per m²</t>
  </si>
  <si>
    <t>W3150</t>
  </si>
  <si>
    <t>Tapijt reinigen sproei/extractie methode</t>
  </si>
  <si>
    <t>W3190</t>
  </si>
  <si>
    <t>Sanitair vloer reinigen d.m.v. "stomen"</t>
  </si>
  <si>
    <t xml:space="preserve">Totaal weekenddag          </t>
  </si>
  <si>
    <t>Totaal afroep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</si>
  <si>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</si>
  <si>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</si>
  <si>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</si>
  <si>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</si>
  <si>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</si>
  <si>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</si>
  <si>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</si>
  <si>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</si>
  <si>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</si>
  <si>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</si>
  <si>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</si>
  <si>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</si>
  <si>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</si>
  <si>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</si>
  <si>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</si>
  <si>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</si>
  <si>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</si>
  <si>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</si>
  <si>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</si>
  <si>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</si>
  <si>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</si>
  <si>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</si>
  <si>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</si>
  <si>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</si>
  <si>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</si>
  <si>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</si>
  <si>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</si>
  <si>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</si>
  <si>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</si>
  <si>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</si>
  <si>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</si>
  <si>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</si>
  <si>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</si>
  <si>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</si>
  <si>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</si>
  <si>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</si>
  <si>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</si>
  <si>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</si>
  <si>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</si>
  <si>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</si>
  <si>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</si>
  <si>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</si>
  <si>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</si>
  <si>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</si>
  <si>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</si>
  <si>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</si>
  <si>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</si>
  <si>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</si>
  <si>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</si>
  <si>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</si>
  <si>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</si>
  <si>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</si>
  <si>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</si>
  <si>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</si>
  <si>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</si>
  <si>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</si>
  <si>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</si>
  <si>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</si>
  <si>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</si>
  <si>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</si>
  <si>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</si>
  <si>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</si>
  <si>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</si>
  <si>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</si>
  <si>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</si>
  <si>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</si>
  <si>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</si>
  <si>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</si>
  <si>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</si>
  <si>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prijs per uur</t>
  </si>
  <si>
    <t>3100A</t>
  </si>
  <si>
    <t>&lt; 500 m²</t>
  </si>
  <si>
    <t>3100B</t>
  </si>
  <si>
    <t>500 &lt; 1000 m²</t>
  </si>
  <si>
    <t>3100C</t>
  </si>
  <si>
    <t>1000 &lt; 2000 m²</t>
  </si>
  <si>
    <t>3100D</t>
  </si>
  <si>
    <t>&gt;= 2000 m²</t>
  </si>
  <si>
    <t>3130A</t>
  </si>
  <si>
    <t>Linoleum sprayen /opwrijven</t>
  </si>
  <si>
    <t>3130B</t>
  </si>
  <si>
    <t>3130C</t>
  </si>
  <si>
    <t>3130D</t>
  </si>
  <si>
    <t>3140A</t>
  </si>
  <si>
    <t>Linoleum vloeren strippen/conserveren</t>
  </si>
  <si>
    <t>3140B</t>
  </si>
  <si>
    <t>3140C</t>
  </si>
  <si>
    <t>3140D</t>
  </si>
  <si>
    <t>3150A</t>
  </si>
  <si>
    <t>3150B</t>
  </si>
  <si>
    <t>500 &lt; 2000 m²</t>
  </si>
  <si>
    <t>3150C</t>
  </si>
  <si>
    <t>3160A</t>
  </si>
  <si>
    <t>Tapijt reinigen droge methode (Host)</t>
  </si>
  <si>
    <t>3160B</t>
  </si>
  <si>
    <t>3160C</t>
  </si>
  <si>
    <t>3160D</t>
  </si>
  <si>
    <t>3170A</t>
  </si>
  <si>
    <t>Tapijt reinigen op koolzuur basis</t>
  </si>
  <si>
    <t>3170B</t>
  </si>
  <si>
    <t>3170C</t>
  </si>
  <si>
    <t>3170D</t>
  </si>
  <si>
    <t>3190A</t>
  </si>
  <si>
    <t>3190B</t>
  </si>
  <si>
    <t>3190C</t>
  </si>
  <si>
    <t>3190D</t>
  </si>
  <si>
    <t>Totaal afroep incidenteel excl. BTW</t>
  </si>
  <si>
    <t>1050</t>
  </si>
  <si>
    <t>Medewerker regiewerkzaamheden</t>
  </si>
  <si>
    <t>1051</t>
  </si>
  <si>
    <t>Medewerker specialistische werkzaamheden</t>
  </si>
  <si>
    <t>W1050</t>
  </si>
  <si>
    <t>W1051</t>
  </si>
  <si>
    <t>Medewerker specialistisch regiewerkzaamheden</t>
  </si>
  <si>
    <t>Totaal regiewerk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</si>
  <si>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</si>
  <si>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</si>
  <si>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</si>
  <si>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</si>
  <si>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</si>
  <si>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</si>
  <si>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8210</t>
  </si>
  <si>
    <t>Tuckerpool</t>
  </si>
  <si>
    <t>prijs per dag</t>
  </si>
  <si>
    <t>Totaal glas excl. BTW</t>
  </si>
  <si>
    <t>Soort werk</t>
  </si>
  <si>
    <t>Uren per jaar uitvoering</t>
  </si>
  <si>
    <t>Uren per jaar leiding</t>
  </si>
  <si>
    <t>Bedrag per jaar excl. BTW (euro)</t>
  </si>
  <si>
    <t>Bedrag per jaar incl. BTW (euro)</t>
  </si>
  <si>
    <t>Regulier werk</t>
  </si>
  <si>
    <t>Afroepwerk (geschatte frequenties)</t>
  </si>
  <si>
    <t>Regie (geschat)</t>
  </si>
  <si>
    <t>Glas</t>
  </si>
  <si>
    <t>Totaal generaal</t>
  </si>
  <si>
    <t>Percentage objectleiding</t>
  </si>
  <si>
    <t>BEGROOT BEDRAG REGULIERE WERKZAAMHEDEN EN GLASBEWASSING (NIET HOGER DAN BUDGET)</t>
  </si>
  <si>
    <t>VERGELIJKINGSBEDRAG AFROEP/REGIE WERK (GESCHAT) VOOR PRIJSCRITERIUM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</si>
</sst>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64" fontId="0" fillId="2" borderId="15" xfId="0" applyNumberFormat="1" applyFill="1" applyBorder="1"/>
    <xf numFmtId="165" fontId="0" fillId="0" borderId="15" xfId="0" applyNumberFormat="1" applyBorder="1" applyProtection="1">
      <protection locked="0"/>
    </xf>
    <xf numFmtId="4" fontId="0" fillId="2" borderId="16" xfId="0" applyNumberFormat="1" applyFill="1" applyBorder="1"/>
    <xf numFmtId="165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0" fontId="0" fillId="3" borderId="18" xfId="0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9" xfId="0" applyFill="1" applyBorder="1"/>
    <xf numFmtId="49" fontId="0" fillId="3" borderId="20" xfId="0" applyNumberFormat="1" applyFill="1" applyBorder="1" applyAlignment="1">
      <alignment wrapText="1"/>
    </xf>
    <xf numFmtId="49" fontId="0" fillId="3" borderId="17" xfId="0" applyNumberFormat="1" applyFill="1" applyBorder="1" applyAlignment="1">
      <alignment wrapText="1"/>
    </xf>
    <xf numFmtId="0" fontId="0" fillId="3" borderId="21" xfId="0" applyFill="1" applyBorder="1"/>
    <xf numFmtId="49" fontId="0" fillId="2" borderId="23" xfId="0" applyNumberFormat="1" applyFill="1" applyBorder="1"/>
    <xf numFmtId="49" fontId="0" fillId="2" borderId="24" xfId="0" applyNumberFormat="1" applyFill="1" applyBorder="1"/>
    <xf numFmtId="49" fontId="0" fillId="2" borderId="24" xfId="0" applyNumberFormat="1" applyFill="1" applyBorder="1" applyAlignment="1">
      <alignment wrapText="1"/>
    </xf>
    <xf numFmtId="4" fontId="0" fillId="2" borderId="24" xfId="0" applyNumberFormat="1" applyFill="1" applyBorder="1"/>
    <xf numFmtId="165" fontId="0" fillId="2" borderId="24" xfId="0" applyNumberFormat="1" applyFill="1" applyBorder="1"/>
    <xf numFmtId="164" fontId="0" fillId="2" borderId="24" xfId="0" applyNumberFormat="1" applyFill="1" applyBorder="1"/>
    <xf numFmtId="164" fontId="0" fillId="2" borderId="25" xfId="0" applyNumberFormat="1" applyFill="1" applyBorder="1"/>
    <xf numFmtId="49" fontId="0" fillId="2" borderId="26" xfId="0" applyNumberFormat="1" applyFill="1" applyBorder="1"/>
    <xf numFmtId="49" fontId="0" fillId="2" borderId="27" xfId="0" applyNumberFormat="1" applyFill="1" applyBorder="1"/>
    <xf numFmtId="49" fontId="0" fillId="2" borderId="27" xfId="0" applyNumberFormat="1" applyFill="1" applyBorder="1" applyAlignment="1">
      <alignment wrapText="1"/>
    </xf>
    <xf numFmtId="4" fontId="0" fillId="2" borderId="27" xfId="0" applyNumberFormat="1" applyFill="1" applyBorder="1"/>
    <xf numFmtId="165" fontId="0" fillId="2" borderId="27" xfId="0" applyNumberFormat="1" applyFill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49" fontId="0" fillId="2" borderId="29" xfId="0" applyNumberFormat="1" applyFill="1" applyBorder="1"/>
    <xf numFmtId="49" fontId="0" fillId="2" borderId="30" xfId="0" applyNumberFormat="1" applyFill="1" applyBorder="1"/>
    <xf numFmtId="49" fontId="0" fillId="2" borderId="30" xfId="0" applyNumberFormat="1" applyFill="1" applyBorder="1" applyAlignment="1">
      <alignment wrapText="1"/>
    </xf>
    <xf numFmtId="4" fontId="0" fillId="2" borderId="30" xfId="0" applyNumberFormat="1" applyFill="1" applyBorder="1"/>
    <xf numFmtId="165" fontId="0" fillId="2" borderId="30" xfId="0" applyNumberFormat="1" applyFill="1" applyBorder="1"/>
    <xf numFmtId="164" fontId="0" fillId="2" borderId="30" xfId="0" applyNumberFormat="1" applyFill="1" applyBorder="1"/>
    <xf numFmtId="164" fontId="0" fillId="2" borderId="31" xfId="0" applyNumberFormat="1" applyFill="1" applyBorder="1"/>
    <xf numFmtId="49" fontId="0" fillId="3" borderId="3" xfId="0" applyNumberFormat="1" applyFill="1" applyBorder="1"/>
    <xf numFmtId="0" fontId="0" fillId="3" borderId="22" xfId="0" applyFill="1" applyBorder="1"/>
    <xf numFmtId="49" fontId="0" fillId="3" borderId="22" xfId="0" applyNumberFormat="1" applyFill="1" applyBorder="1"/>
    <xf numFmtId="0" fontId="0" fillId="3" borderId="6" xfId="0" applyFill="1" applyBorder="1"/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2" borderId="6" xfId="0" applyNumberFormat="1" applyFill="1" applyBorder="1"/>
    <xf numFmtId="164" fontId="0" fillId="2" borderId="6" xfId="0" applyNumberFormat="1" applyFill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4" fontId="0" fillId="3" borderId="14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4" fontId="0" fillId="3" borderId="15" xfId="0" applyNumberFormat="1" applyFill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0" fontId="0" fillId="3" borderId="12" xfId="0" applyFill="1" applyBorder="1"/>
    <xf numFmtId="0" fontId="0" fillId="3" borderId="10" xfId="0" applyFill="1" applyBorder="1" applyAlignment="1"/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4" fontId="0" fillId="3" borderId="16" xfId="0" applyNumberFormat="1" applyFill="1" applyBorder="1"/>
    <xf numFmtId="10" fontId="0" fillId="3" borderId="6" xfId="0" applyNumberFormat="1" applyFill="1" applyBorder="1"/>
    <xf numFmtId="0" fontId="2" fillId="5" borderId="20" xfId="0" applyFont="1" applyFill="1" applyBorder="1"/>
    <xf numFmtId="0" fontId="3" fillId="5" borderId="20" xfId="0" applyFont="1" applyFill="1" applyBorder="1"/>
    <xf numFmtId="164" fontId="2" fillId="6" borderId="20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0507-645E-4D9F-B389-2DC206A51BA1}">
  <dimension ref="A1:B25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260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 t="shared" ref="B13:B25" si="0"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 t="shared" si="0"/>
        <v>0.8</v>
      </c>
    </row>
    <row r="15" spans="1:2" x14ac:dyDescent="0.2">
      <c r="A15" s="2" t="s">
        <v>11</v>
      </c>
      <c r="B15" s="3">
        <f t="shared" si="0"/>
        <v>0.76923076923076927</v>
      </c>
    </row>
    <row r="16" spans="1:2" x14ac:dyDescent="0.2">
      <c r="A16" s="2" t="s">
        <v>12</v>
      </c>
      <c r="B16" s="3">
        <f t="shared" si="0"/>
        <v>0.6</v>
      </c>
    </row>
    <row r="17" spans="1:2" x14ac:dyDescent="0.2">
      <c r="A17" s="2" t="s">
        <v>13</v>
      </c>
      <c r="B17" s="3">
        <f t="shared" si="0"/>
        <v>0.4</v>
      </c>
    </row>
    <row r="18" spans="1:2" x14ac:dyDescent="0.2">
      <c r="A18" s="2" t="s">
        <v>14</v>
      </c>
      <c r="B18" s="3">
        <f t="shared" si="0"/>
        <v>0.2</v>
      </c>
    </row>
    <row r="19" spans="1:2" x14ac:dyDescent="0.2">
      <c r="A19" s="2" t="s">
        <v>15</v>
      </c>
      <c r="B19" s="3">
        <f t="shared" si="0"/>
        <v>0.1</v>
      </c>
    </row>
    <row r="20" spans="1:2" x14ac:dyDescent="0.2">
      <c r="A20" s="2" t="s">
        <v>16</v>
      </c>
      <c r="B20" s="3">
        <f t="shared" si="0"/>
        <v>4.6153846153846156E-2</v>
      </c>
    </row>
    <row r="21" spans="1:2" x14ac:dyDescent="0.2">
      <c r="A21" s="2" t="s">
        <v>17</v>
      </c>
      <c r="B21" s="3">
        <f t="shared" si="0"/>
        <v>2.3076923076923078E-2</v>
      </c>
    </row>
    <row r="22" spans="1:2" x14ac:dyDescent="0.2">
      <c r="A22" s="2" t="s">
        <v>18</v>
      </c>
      <c r="B22" s="3">
        <f t="shared" si="0"/>
        <v>1.5384615384615385E-2</v>
      </c>
    </row>
    <row r="23" spans="1:2" x14ac:dyDescent="0.2">
      <c r="A23" s="2" t="s">
        <v>19</v>
      </c>
      <c r="B23" s="3">
        <f t="shared" si="0"/>
        <v>1.1538461538461539E-2</v>
      </c>
    </row>
    <row r="24" spans="1:2" x14ac:dyDescent="0.2">
      <c r="A24" s="2" t="s">
        <v>20</v>
      </c>
      <c r="B24" s="3">
        <f t="shared" si="0"/>
        <v>7.6923076923076927E-3</v>
      </c>
    </row>
    <row r="25" spans="1:2" x14ac:dyDescent="0.2">
      <c r="A25" s="6" t="s">
        <v>21</v>
      </c>
      <c r="B25" s="7">
        <f t="shared" si="0"/>
        <v>3.8461538461538464E-3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53CC-DB1E-4743-BA89-67C8CB6CF9AC}">
  <dimension ref="A1:E81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I.8: ",tabeltype," afroep incidenteel")</f>
        <v>Bijlage I.8: Invultabel afroep incidenteel</v>
      </c>
    </row>
    <row r="3" spans="1:5" ht="38.25" x14ac:dyDescent="0.2">
      <c r="A3" s="8" t="s">
        <v>366</v>
      </c>
      <c r="B3" s="8" t="s">
        <v>25</v>
      </c>
      <c r="C3" s="8" t="s">
        <v>28</v>
      </c>
      <c r="D3" s="8" t="s">
        <v>383</v>
      </c>
      <c r="E3" s="8" t="s">
        <v>371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30</v>
      </c>
      <c r="B5" s="13"/>
      <c r="C5" s="13"/>
      <c r="D5" s="13"/>
      <c r="E5" s="14"/>
    </row>
    <row r="6" spans="1:5" x14ac:dyDescent="0.2">
      <c r="A6" s="15" t="s">
        <v>384</v>
      </c>
      <c r="B6" s="15" t="s">
        <v>385</v>
      </c>
      <c r="C6" s="15" t="s">
        <v>386</v>
      </c>
      <c r="D6" s="15" t="s">
        <v>387</v>
      </c>
      <c r="E6" s="19"/>
    </row>
    <row r="7" spans="1:5" x14ac:dyDescent="0.2">
      <c r="A7" s="20" t="s">
        <v>388</v>
      </c>
      <c r="B7" s="20" t="s">
        <v>385</v>
      </c>
      <c r="C7" s="20" t="s">
        <v>386</v>
      </c>
      <c r="D7" s="20" t="s">
        <v>389</v>
      </c>
      <c r="E7" s="24"/>
    </row>
    <row r="8" spans="1:5" x14ac:dyDescent="0.2">
      <c r="A8" s="20" t="s">
        <v>390</v>
      </c>
      <c r="B8" s="20" t="s">
        <v>385</v>
      </c>
      <c r="C8" s="20" t="s">
        <v>386</v>
      </c>
      <c r="D8" s="20" t="s">
        <v>391</v>
      </c>
      <c r="E8" s="24"/>
    </row>
    <row r="9" spans="1:5" x14ac:dyDescent="0.2">
      <c r="A9" s="20" t="s">
        <v>392</v>
      </c>
      <c r="B9" s="20" t="s">
        <v>385</v>
      </c>
      <c r="C9" s="20" t="s">
        <v>386</v>
      </c>
      <c r="D9" s="20" t="s">
        <v>393</v>
      </c>
      <c r="E9" s="24"/>
    </row>
    <row r="10" spans="1:5" x14ac:dyDescent="0.2">
      <c r="A10" s="20" t="s">
        <v>394</v>
      </c>
      <c r="B10" s="20" t="s">
        <v>395</v>
      </c>
      <c r="C10" s="20" t="s">
        <v>386</v>
      </c>
      <c r="D10" s="20" t="s">
        <v>387</v>
      </c>
      <c r="E10" s="24"/>
    </row>
    <row r="11" spans="1:5" x14ac:dyDescent="0.2">
      <c r="A11" s="20" t="s">
        <v>396</v>
      </c>
      <c r="B11" s="20" t="s">
        <v>395</v>
      </c>
      <c r="C11" s="20" t="s">
        <v>386</v>
      </c>
      <c r="D11" s="20" t="s">
        <v>389</v>
      </c>
      <c r="E11" s="24"/>
    </row>
    <row r="12" spans="1:5" x14ac:dyDescent="0.2">
      <c r="A12" s="20" t="s">
        <v>397</v>
      </c>
      <c r="B12" s="20" t="s">
        <v>395</v>
      </c>
      <c r="C12" s="20" t="s">
        <v>386</v>
      </c>
      <c r="D12" s="20" t="s">
        <v>391</v>
      </c>
      <c r="E12" s="24"/>
    </row>
    <row r="13" spans="1:5" x14ac:dyDescent="0.2">
      <c r="A13" s="20" t="s">
        <v>398</v>
      </c>
      <c r="B13" s="20" t="s">
        <v>395</v>
      </c>
      <c r="C13" s="20" t="s">
        <v>386</v>
      </c>
      <c r="D13" s="20" t="s">
        <v>393</v>
      </c>
      <c r="E13" s="24"/>
    </row>
    <row r="14" spans="1:5" x14ac:dyDescent="0.2">
      <c r="A14" s="20" t="s">
        <v>399</v>
      </c>
      <c r="B14" s="20" t="s">
        <v>400</v>
      </c>
      <c r="C14" s="20" t="s">
        <v>386</v>
      </c>
      <c r="D14" s="20" t="s">
        <v>387</v>
      </c>
      <c r="E14" s="24"/>
    </row>
    <row r="15" spans="1:5" x14ac:dyDescent="0.2">
      <c r="A15" s="20" t="s">
        <v>401</v>
      </c>
      <c r="B15" s="20" t="s">
        <v>400</v>
      </c>
      <c r="C15" s="20" t="s">
        <v>386</v>
      </c>
      <c r="D15" s="20" t="s">
        <v>389</v>
      </c>
      <c r="E15" s="24"/>
    </row>
    <row r="16" spans="1:5" x14ac:dyDescent="0.2">
      <c r="A16" s="20" t="s">
        <v>402</v>
      </c>
      <c r="B16" s="20" t="s">
        <v>400</v>
      </c>
      <c r="C16" s="20" t="s">
        <v>386</v>
      </c>
      <c r="D16" s="20" t="s">
        <v>391</v>
      </c>
      <c r="E16" s="24"/>
    </row>
    <row r="17" spans="1:5" x14ac:dyDescent="0.2">
      <c r="A17" s="20" t="s">
        <v>403</v>
      </c>
      <c r="B17" s="20" t="s">
        <v>400</v>
      </c>
      <c r="C17" s="20" t="s">
        <v>386</v>
      </c>
      <c r="D17" s="20" t="s">
        <v>393</v>
      </c>
      <c r="E17" s="24"/>
    </row>
    <row r="18" spans="1:5" x14ac:dyDescent="0.2">
      <c r="A18" s="20" t="s">
        <v>404</v>
      </c>
      <c r="B18" s="20" t="s">
        <v>405</v>
      </c>
      <c r="C18" s="20" t="s">
        <v>386</v>
      </c>
      <c r="D18" s="20" t="s">
        <v>387</v>
      </c>
      <c r="E18" s="24"/>
    </row>
    <row r="19" spans="1:5" x14ac:dyDescent="0.2">
      <c r="A19" s="20" t="s">
        <v>406</v>
      </c>
      <c r="B19" s="20" t="s">
        <v>405</v>
      </c>
      <c r="C19" s="20" t="s">
        <v>386</v>
      </c>
      <c r="D19" s="20" t="s">
        <v>389</v>
      </c>
      <c r="E19" s="24"/>
    </row>
    <row r="20" spans="1:5" x14ac:dyDescent="0.2">
      <c r="A20" s="20" t="s">
        <v>407</v>
      </c>
      <c r="B20" s="20" t="s">
        <v>405</v>
      </c>
      <c r="C20" s="20" t="s">
        <v>386</v>
      </c>
      <c r="D20" s="20" t="s">
        <v>391</v>
      </c>
      <c r="E20" s="24"/>
    </row>
    <row r="21" spans="1:5" x14ac:dyDescent="0.2">
      <c r="A21" s="20" t="s">
        <v>408</v>
      </c>
      <c r="B21" s="20" t="s">
        <v>405</v>
      </c>
      <c r="C21" s="20" t="s">
        <v>386</v>
      </c>
      <c r="D21" s="20" t="s">
        <v>393</v>
      </c>
      <c r="E21" s="24"/>
    </row>
    <row r="22" spans="1:5" x14ac:dyDescent="0.2">
      <c r="A22" s="20" t="s">
        <v>409</v>
      </c>
      <c r="B22" s="20" t="s">
        <v>410</v>
      </c>
      <c r="C22" s="20" t="s">
        <v>376</v>
      </c>
      <c r="D22" s="20" t="s">
        <v>411</v>
      </c>
      <c r="E22" s="24"/>
    </row>
    <row r="23" spans="1:5" x14ac:dyDescent="0.2">
      <c r="A23" s="20" t="s">
        <v>412</v>
      </c>
      <c r="B23" s="20" t="s">
        <v>410</v>
      </c>
      <c r="C23" s="20" t="s">
        <v>376</v>
      </c>
      <c r="D23" s="20" t="s">
        <v>413</v>
      </c>
      <c r="E23" s="24"/>
    </row>
    <row r="24" spans="1:5" x14ac:dyDescent="0.2">
      <c r="A24" s="20" t="s">
        <v>414</v>
      </c>
      <c r="B24" s="20" t="s">
        <v>410</v>
      </c>
      <c r="C24" s="20" t="s">
        <v>376</v>
      </c>
      <c r="D24" s="20" t="s">
        <v>415</v>
      </c>
      <c r="E24" s="24"/>
    </row>
    <row r="25" spans="1:5" x14ac:dyDescent="0.2">
      <c r="A25" s="20" t="s">
        <v>416</v>
      </c>
      <c r="B25" s="20" t="s">
        <v>410</v>
      </c>
      <c r="C25" s="20" t="s">
        <v>376</v>
      </c>
      <c r="D25" s="20" t="s">
        <v>417</v>
      </c>
      <c r="E25" s="24"/>
    </row>
    <row r="26" spans="1:5" x14ac:dyDescent="0.2">
      <c r="A26" s="20" t="s">
        <v>418</v>
      </c>
      <c r="B26" s="20" t="s">
        <v>419</v>
      </c>
      <c r="C26" s="20" t="s">
        <v>376</v>
      </c>
      <c r="D26" s="20" t="s">
        <v>411</v>
      </c>
      <c r="E26" s="24"/>
    </row>
    <row r="27" spans="1:5" x14ac:dyDescent="0.2">
      <c r="A27" s="20" t="s">
        <v>420</v>
      </c>
      <c r="B27" s="20" t="s">
        <v>419</v>
      </c>
      <c r="C27" s="20" t="s">
        <v>376</v>
      </c>
      <c r="D27" s="20" t="s">
        <v>413</v>
      </c>
      <c r="E27" s="24"/>
    </row>
    <row r="28" spans="1:5" x14ac:dyDescent="0.2">
      <c r="A28" s="20" t="s">
        <v>421</v>
      </c>
      <c r="B28" s="20" t="s">
        <v>419</v>
      </c>
      <c r="C28" s="20" t="s">
        <v>376</v>
      </c>
      <c r="D28" s="20" t="s">
        <v>415</v>
      </c>
      <c r="E28" s="24"/>
    </row>
    <row r="29" spans="1:5" x14ac:dyDescent="0.2">
      <c r="A29" s="20" t="s">
        <v>422</v>
      </c>
      <c r="B29" s="20" t="s">
        <v>419</v>
      </c>
      <c r="C29" s="20" t="s">
        <v>376</v>
      </c>
      <c r="D29" s="20" t="s">
        <v>417</v>
      </c>
      <c r="E29" s="24"/>
    </row>
    <row r="30" spans="1:5" x14ac:dyDescent="0.2">
      <c r="A30" s="20" t="s">
        <v>423</v>
      </c>
      <c r="B30" s="20" t="s">
        <v>424</v>
      </c>
      <c r="C30" s="20" t="s">
        <v>376</v>
      </c>
      <c r="D30" s="20" t="s">
        <v>411</v>
      </c>
      <c r="E30" s="24"/>
    </row>
    <row r="31" spans="1:5" x14ac:dyDescent="0.2">
      <c r="A31" s="20" t="s">
        <v>425</v>
      </c>
      <c r="B31" s="20" t="s">
        <v>424</v>
      </c>
      <c r="C31" s="20" t="s">
        <v>376</v>
      </c>
      <c r="D31" s="20" t="s">
        <v>413</v>
      </c>
      <c r="E31" s="24"/>
    </row>
    <row r="32" spans="1:5" x14ac:dyDescent="0.2">
      <c r="A32" s="20" t="s">
        <v>426</v>
      </c>
      <c r="B32" s="20" t="s">
        <v>424</v>
      </c>
      <c r="C32" s="20" t="s">
        <v>376</v>
      </c>
      <c r="D32" s="20" t="s">
        <v>415</v>
      </c>
      <c r="E32" s="24"/>
    </row>
    <row r="33" spans="1:5" x14ac:dyDescent="0.2">
      <c r="A33" s="20" t="s">
        <v>427</v>
      </c>
      <c r="B33" s="20" t="s">
        <v>424</v>
      </c>
      <c r="C33" s="20" t="s">
        <v>376</v>
      </c>
      <c r="D33" s="20" t="s">
        <v>417</v>
      </c>
      <c r="E33" s="24"/>
    </row>
    <row r="34" spans="1:5" x14ac:dyDescent="0.2">
      <c r="A34" s="20" t="s">
        <v>428</v>
      </c>
      <c r="B34" s="20" t="s">
        <v>429</v>
      </c>
      <c r="C34" s="20" t="s">
        <v>376</v>
      </c>
      <c r="D34" s="20" t="s">
        <v>411</v>
      </c>
      <c r="E34" s="24"/>
    </row>
    <row r="35" spans="1:5" x14ac:dyDescent="0.2">
      <c r="A35" s="20" t="s">
        <v>430</v>
      </c>
      <c r="B35" s="20" t="s">
        <v>429</v>
      </c>
      <c r="C35" s="20" t="s">
        <v>376</v>
      </c>
      <c r="D35" s="20" t="s">
        <v>413</v>
      </c>
      <c r="E35" s="24"/>
    </row>
    <row r="36" spans="1:5" x14ac:dyDescent="0.2">
      <c r="A36" s="20" t="s">
        <v>431</v>
      </c>
      <c r="B36" s="20" t="s">
        <v>429</v>
      </c>
      <c r="C36" s="20" t="s">
        <v>376</v>
      </c>
      <c r="D36" s="20" t="s">
        <v>415</v>
      </c>
      <c r="E36" s="24"/>
    </row>
    <row r="37" spans="1:5" x14ac:dyDescent="0.2">
      <c r="A37" s="20" t="s">
        <v>432</v>
      </c>
      <c r="B37" s="20" t="s">
        <v>429</v>
      </c>
      <c r="C37" s="20" t="s">
        <v>376</v>
      </c>
      <c r="D37" s="20" t="s">
        <v>417</v>
      </c>
      <c r="E37" s="24"/>
    </row>
    <row r="38" spans="1:5" x14ac:dyDescent="0.2">
      <c r="A38" s="20" t="s">
        <v>433</v>
      </c>
      <c r="B38" s="20" t="s">
        <v>434</v>
      </c>
      <c r="C38" s="20" t="s">
        <v>376</v>
      </c>
      <c r="D38" s="20" t="s">
        <v>411</v>
      </c>
      <c r="E38" s="24"/>
    </row>
    <row r="39" spans="1:5" x14ac:dyDescent="0.2">
      <c r="A39" s="20" t="s">
        <v>435</v>
      </c>
      <c r="B39" s="20" t="s">
        <v>434</v>
      </c>
      <c r="C39" s="20" t="s">
        <v>376</v>
      </c>
      <c r="D39" s="20" t="s">
        <v>413</v>
      </c>
      <c r="E39" s="24"/>
    </row>
    <row r="40" spans="1:5" x14ac:dyDescent="0.2">
      <c r="A40" s="20" t="s">
        <v>436</v>
      </c>
      <c r="B40" s="20" t="s">
        <v>434</v>
      </c>
      <c r="C40" s="20" t="s">
        <v>376</v>
      </c>
      <c r="D40" s="20" t="s">
        <v>415</v>
      </c>
      <c r="E40" s="24"/>
    </row>
    <row r="41" spans="1:5" x14ac:dyDescent="0.2">
      <c r="A41" s="20" t="s">
        <v>437</v>
      </c>
      <c r="B41" s="20" t="s">
        <v>434</v>
      </c>
      <c r="C41" s="20" t="s">
        <v>376</v>
      </c>
      <c r="D41" s="20" t="s">
        <v>417</v>
      </c>
      <c r="E41" s="24"/>
    </row>
    <row r="42" spans="1:5" x14ac:dyDescent="0.2">
      <c r="A42" s="20" t="s">
        <v>438</v>
      </c>
      <c r="B42" s="20" t="s">
        <v>439</v>
      </c>
      <c r="C42" s="20" t="s">
        <v>376</v>
      </c>
      <c r="D42" s="20" t="s">
        <v>411</v>
      </c>
      <c r="E42" s="24"/>
    </row>
    <row r="43" spans="1:5" x14ac:dyDescent="0.2">
      <c r="A43" s="20" t="s">
        <v>440</v>
      </c>
      <c r="B43" s="20" t="s">
        <v>439</v>
      </c>
      <c r="C43" s="20" t="s">
        <v>376</v>
      </c>
      <c r="D43" s="20" t="s">
        <v>413</v>
      </c>
      <c r="E43" s="24"/>
    </row>
    <row r="44" spans="1:5" x14ac:dyDescent="0.2">
      <c r="A44" s="20" t="s">
        <v>441</v>
      </c>
      <c r="B44" s="20" t="s">
        <v>439</v>
      </c>
      <c r="C44" s="20" t="s">
        <v>376</v>
      </c>
      <c r="D44" s="20" t="s">
        <v>415</v>
      </c>
      <c r="E44" s="24"/>
    </row>
    <row r="45" spans="1:5" x14ac:dyDescent="0.2">
      <c r="A45" s="20" t="s">
        <v>442</v>
      </c>
      <c r="B45" s="20" t="s">
        <v>439</v>
      </c>
      <c r="C45" s="20" t="s">
        <v>376</v>
      </c>
      <c r="D45" s="20" t="s">
        <v>417</v>
      </c>
      <c r="E45" s="24"/>
    </row>
    <row r="46" spans="1:5" x14ac:dyDescent="0.2">
      <c r="A46" s="20" t="s">
        <v>443</v>
      </c>
      <c r="B46" s="20" t="s">
        <v>444</v>
      </c>
      <c r="C46" s="20" t="s">
        <v>376</v>
      </c>
      <c r="D46" s="20" t="s">
        <v>411</v>
      </c>
      <c r="E46" s="24"/>
    </row>
    <row r="47" spans="1:5" x14ac:dyDescent="0.2">
      <c r="A47" s="20" t="s">
        <v>445</v>
      </c>
      <c r="B47" s="20" t="s">
        <v>444</v>
      </c>
      <c r="C47" s="20" t="s">
        <v>376</v>
      </c>
      <c r="D47" s="20" t="s">
        <v>413</v>
      </c>
      <c r="E47" s="24"/>
    </row>
    <row r="48" spans="1:5" x14ac:dyDescent="0.2">
      <c r="A48" s="20" t="s">
        <v>446</v>
      </c>
      <c r="B48" s="20" t="s">
        <v>444</v>
      </c>
      <c r="C48" s="20" t="s">
        <v>376</v>
      </c>
      <c r="D48" s="20" t="s">
        <v>415</v>
      </c>
      <c r="E48" s="24"/>
    </row>
    <row r="49" spans="1:5" x14ac:dyDescent="0.2">
      <c r="A49" s="20" t="s">
        <v>447</v>
      </c>
      <c r="B49" s="20" t="s">
        <v>444</v>
      </c>
      <c r="C49" s="20" t="s">
        <v>376</v>
      </c>
      <c r="D49" s="20" t="s">
        <v>417</v>
      </c>
      <c r="E49" s="24"/>
    </row>
    <row r="50" spans="1:5" x14ac:dyDescent="0.2">
      <c r="A50" s="20" t="s">
        <v>448</v>
      </c>
      <c r="B50" s="20" t="s">
        <v>449</v>
      </c>
      <c r="C50" s="20" t="s">
        <v>376</v>
      </c>
      <c r="D50" s="20" t="s">
        <v>170</v>
      </c>
      <c r="E50" s="24"/>
    </row>
    <row r="51" spans="1:5" x14ac:dyDescent="0.2">
      <c r="A51" s="20" t="s">
        <v>450</v>
      </c>
      <c r="B51" s="20" t="s">
        <v>451</v>
      </c>
      <c r="C51" s="20" t="s">
        <v>452</v>
      </c>
      <c r="D51" s="20" t="s">
        <v>170</v>
      </c>
      <c r="E51" s="24"/>
    </row>
    <row r="52" spans="1:5" x14ac:dyDescent="0.2">
      <c r="A52" s="20" t="s">
        <v>453</v>
      </c>
      <c r="B52" s="20" t="s">
        <v>375</v>
      </c>
      <c r="C52" s="20" t="s">
        <v>376</v>
      </c>
      <c r="D52" s="20" t="s">
        <v>454</v>
      </c>
      <c r="E52" s="24"/>
    </row>
    <row r="53" spans="1:5" x14ac:dyDescent="0.2">
      <c r="A53" s="20" t="s">
        <v>455</v>
      </c>
      <c r="B53" s="20" t="s">
        <v>375</v>
      </c>
      <c r="C53" s="20" t="s">
        <v>376</v>
      </c>
      <c r="D53" s="20" t="s">
        <v>456</v>
      </c>
      <c r="E53" s="24"/>
    </row>
    <row r="54" spans="1:5" x14ac:dyDescent="0.2">
      <c r="A54" s="20" t="s">
        <v>457</v>
      </c>
      <c r="B54" s="20" t="s">
        <v>375</v>
      </c>
      <c r="C54" s="20" t="s">
        <v>376</v>
      </c>
      <c r="D54" s="20" t="s">
        <v>458</v>
      </c>
      <c r="E54" s="24"/>
    </row>
    <row r="55" spans="1:5" x14ac:dyDescent="0.2">
      <c r="A55" s="20" t="s">
        <v>459</v>
      </c>
      <c r="B55" s="20" t="s">
        <v>375</v>
      </c>
      <c r="C55" s="20" t="s">
        <v>376</v>
      </c>
      <c r="D55" s="20" t="s">
        <v>460</v>
      </c>
      <c r="E55" s="24"/>
    </row>
    <row r="56" spans="1:5" x14ac:dyDescent="0.2">
      <c r="A56" s="20" t="s">
        <v>461</v>
      </c>
      <c r="B56" s="20" t="s">
        <v>462</v>
      </c>
      <c r="C56" s="20" t="s">
        <v>376</v>
      </c>
      <c r="D56" s="20" t="s">
        <v>454</v>
      </c>
      <c r="E56" s="24"/>
    </row>
    <row r="57" spans="1:5" x14ac:dyDescent="0.2">
      <c r="A57" s="20" t="s">
        <v>463</v>
      </c>
      <c r="B57" s="20" t="s">
        <v>462</v>
      </c>
      <c r="C57" s="20" t="s">
        <v>376</v>
      </c>
      <c r="D57" s="20" t="s">
        <v>456</v>
      </c>
      <c r="E57" s="24"/>
    </row>
    <row r="58" spans="1:5" x14ac:dyDescent="0.2">
      <c r="A58" s="20" t="s">
        <v>464</v>
      </c>
      <c r="B58" s="20" t="s">
        <v>462</v>
      </c>
      <c r="C58" s="20" t="s">
        <v>376</v>
      </c>
      <c r="D58" s="20" t="s">
        <v>458</v>
      </c>
      <c r="E58" s="24"/>
    </row>
    <row r="59" spans="1:5" x14ac:dyDescent="0.2">
      <c r="A59" s="20" t="s">
        <v>465</v>
      </c>
      <c r="B59" s="20" t="s">
        <v>462</v>
      </c>
      <c r="C59" s="20" t="s">
        <v>376</v>
      </c>
      <c r="D59" s="20" t="s">
        <v>460</v>
      </c>
      <c r="E59" s="24"/>
    </row>
    <row r="60" spans="1:5" x14ac:dyDescent="0.2">
      <c r="A60" s="20" t="s">
        <v>466</v>
      </c>
      <c r="B60" s="20" t="s">
        <v>467</v>
      </c>
      <c r="C60" s="20" t="s">
        <v>376</v>
      </c>
      <c r="D60" s="20" t="s">
        <v>454</v>
      </c>
      <c r="E60" s="24"/>
    </row>
    <row r="61" spans="1:5" x14ac:dyDescent="0.2">
      <c r="A61" s="20" t="s">
        <v>468</v>
      </c>
      <c r="B61" s="20" t="s">
        <v>467</v>
      </c>
      <c r="C61" s="20" t="s">
        <v>376</v>
      </c>
      <c r="D61" s="20" t="s">
        <v>456</v>
      </c>
      <c r="E61" s="24"/>
    </row>
    <row r="62" spans="1:5" x14ac:dyDescent="0.2">
      <c r="A62" s="20" t="s">
        <v>469</v>
      </c>
      <c r="B62" s="20" t="s">
        <v>467</v>
      </c>
      <c r="C62" s="20" t="s">
        <v>376</v>
      </c>
      <c r="D62" s="20" t="s">
        <v>458</v>
      </c>
      <c r="E62" s="24"/>
    </row>
    <row r="63" spans="1:5" x14ac:dyDescent="0.2">
      <c r="A63" s="20" t="s">
        <v>470</v>
      </c>
      <c r="B63" s="20" t="s">
        <v>467</v>
      </c>
      <c r="C63" s="20" t="s">
        <v>376</v>
      </c>
      <c r="D63" s="20" t="s">
        <v>460</v>
      </c>
      <c r="E63" s="24"/>
    </row>
    <row r="64" spans="1:5" x14ac:dyDescent="0.2">
      <c r="A64" s="20" t="s">
        <v>471</v>
      </c>
      <c r="B64" s="20" t="s">
        <v>378</v>
      </c>
      <c r="C64" s="20" t="s">
        <v>376</v>
      </c>
      <c r="D64" s="20" t="s">
        <v>454</v>
      </c>
      <c r="E64" s="24"/>
    </row>
    <row r="65" spans="1:5" x14ac:dyDescent="0.2">
      <c r="A65" s="20" t="s">
        <v>472</v>
      </c>
      <c r="B65" s="20" t="s">
        <v>378</v>
      </c>
      <c r="C65" s="20" t="s">
        <v>376</v>
      </c>
      <c r="D65" s="20" t="s">
        <v>473</v>
      </c>
      <c r="E65" s="24"/>
    </row>
    <row r="66" spans="1:5" x14ac:dyDescent="0.2">
      <c r="A66" s="20" t="s">
        <v>474</v>
      </c>
      <c r="B66" s="20" t="s">
        <v>378</v>
      </c>
      <c r="C66" s="20" t="s">
        <v>376</v>
      </c>
      <c r="D66" s="20" t="s">
        <v>460</v>
      </c>
      <c r="E66" s="24"/>
    </row>
    <row r="67" spans="1:5" x14ac:dyDescent="0.2">
      <c r="A67" s="20" t="s">
        <v>475</v>
      </c>
      <c r="B67" s="20" t="s">
        <v>476</v>
      </c>
      <c r="C67" s="20" t="s">
        <v>376</v>
      </c>
      <c r="D67" s="20" t="s">
        <v>454</v>
      </c>
      <c r="E67" s="24"/>
    </row>
    <row r="68" spans="1:5" x14ac:dyDescent="0.2">
      <c r="A68" s="20" t="s">
        <v>477</v>
      </c>
      <c r="B68" s="20" t="s">
        <v>476</v>
      </c>
      <c r="C68" s="20" t="s">
        <v>376</v>
      </c>
      <c r="D68" s="20" t="s">
        <v>456</v>
      </c>
      <c r="E68" s="24"/>
    </row>
    <row r="69" spans="1:5" x14ac:dyDescent="0.2">
      <c r="A69" s="20" t="s">
        <v>478</v>
      </c>
      <c r="B69" s="20" t="s">
        <v>476</v>
      </c>
      <c r="C69" s="20" t="s">
        <v>376</v>
      </c>
      <c r="D69" s="20" t="s">
        <v>458</v>
      </c>
      <c r="E69" s="24"/>
    </row>
    <row r="70" spans="1:5" x14ac:dyDescent="0.2">
      <c r="A70" s="20" t="s">
        <v>479</v>
      </c>
      <c r="B70" s="20" t="s">
        <v>476</v>
      </c>
      <c r="C70" s="20" t="s">
        <v>376</v>
      </c>
      <c r="D70" s="20" t="s">
        <v>460</v>
      </c>
      <c r="E70" s="24"/>
    </row>
    <row r="71" spans="1:5" x14ac:dyDescent="0.2">
      <c r="A71" s="20" t="s">
        <v>480</v>
      </c>
      <c r="B71" s="20" t="s">
        <v>481</v>
      </c>
      <c r="C71" s="20" t="s">
        <v>376</v>
      </c>
      <c r="D71" s="20" t="s">
        <v>454</v>
      </c>
      <c r="E71" s="24"/>
    </row>
    <row r="72" spans="1:5" x14ac:dyDescent="0.2">
      <c r="A72" s="20" t="s">
        <v>482</v>
      </c>
      <c r="B72" s="20" t="s">
        <v>481</v>
      </c>
      <c r="C72" s="20" t="s">
        <v>376</v>
      </c>
      <c r="D72" s="20" t="s">
        <v>456</v>
      </c>
      <c r="E72" s="24"/>
    </row>
    <row r="73" spans="1:5" x14ac:dyDescent="0.2">
      <c r="A73" s="20" t="s">
        <v>483</v>
      </c>
      <c r="B73" s="20" t="s">
        <v>481</v>
      </c>
      <c r="C73" s="20" t="s">
        <v>376</v>
      </c>
      <c r="D73" s="20" t="s">
        <v>458</v>
      </c>
      <c r="E73" s="24"/>
    </row>
    <row r="74" spans="1:5" x14ac:dyDescent="0.2">
      <c r="A74" s="20" t="s">
        <v>484</v>
      </c>
      <c r="B74" s="20" t="s">
        <v>481</v>
      </c>
      <c r="C74" s="20" t="s">
        <v>376</v>
      </c>
      <c r="D74" s="20" t="s">
        <v>460</v>
      </c>
      <c r="E74" s="24"/>
    </row>
    <row r="75" spans="1:5" x14ac:dyDescent="0.2">
      <c r="A75" s="20" t="s">
        <v>485</v>
      </c>
      <c r="B75" s="20" t="s">
        <v>380</v>
      </c>
      <c r="C75" s="20" t="s">
        <v>376</v>
      </c>
      <c r="D75" s="20" t="s">
        <v>454</v>
      </c>
      <c r="E75" s="24"/>
    </row>
    <row r="76" spans="1:5" x14ac:dyDescent="0.2">
      <c r="A76" s="20" t="s">
        <v>486</v>
      </c>
      <c r="B76" s="20" t="s">
        <v>380</v>
      </c>
      <c r="C76" s="20" t="s">
        <v>376</v>
      </c>
      <c r="D76" s="20" t="s">
        <v>456</v>
      </c>
      <c r="E76" s="24"/>
    </row>
    <row r="77" spans="1:5" x14ac:dyDescent="0.2">
      <c r="A77" s="20" t="s">
        <v>487</v>
      </c>
      <c r="B77" s="20" t="s">
        <v>380</v>
      </c>
      <c r="C77" s="20" t="s">
        <v>376</v>
      </c>
      <c r="D77" s="20" t="s">
        <v>458</v>
      </c>
      <c r="E77" s="24"/>
    </row>
    <row r="78" spans="1:5" x14ac:dyDescent="0.2">
      <c r="A78" s="25" t="s">
        <v>488</v>
      </c>
      <c r="B78" s="25" t="s">
        <v>380</v>
      </c>
      <c r="C78" s="25" t="s">
        <v>376</v>
      </c>
      <c r="D78" s="25" t="s">
        <v>460</v>
      </c>
      <c r="E78" s="29"/>
    </row>
    <row r="79" spans="1:5" x14ac:dyDescent="0.2">
      <c r="A79" s="41" t="s">
        <v>157</v>
      </c>
      <c r="B79" s="42"/>
      <c r="C79" s="42"/>
      <c r="D79" s="42"/>
      <c r="E79" s="100"/>
    </row>
    <row r="81" spans="1:5" x14ac:dyDescent="0.2">
      <c r="A81" s="41" t="s">
        <v>489</v>
      </c>
      <c r="B81" s="42"/>
      <c r="C81" s="42"/>
      <c r="D81" s="42"/>
      <c r="E81" s="100"/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0C0FE-C250-4B85-8DAA-092F7B1A030D}">
  <dimension ref="A1:K1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</cols>
  <sheetData>
    <row r="1" spans="1:11" x14ac:dyDescent="0.2">
      <c r="A1" s="1" t="str">
        <f>CONCATENATE("Bijlage I.9: ",tabeltype," regiewerk")</f>
        <v>Bijlage I.9: Invultabel regiewerk</v>
      </c>
    </row>
    <row r="3" spans="1:11" ht="38.25" x14ac:dyDescent="0.2">
      <c r="A3" s="8" t="s">
        <v>366</v>
      </c>
      <c r="B3" s="8" t="s">
        <v>7</v>
      </c>
      <c r="C3" s="8" t="s">
        <v>367</v>
      </c>
      <c r="D3" s="8" t="s">
        <v>25</v>
      </c>
      <c r="E3" s="8" t="s">
        <v>28</v>
      </c>
      <c r="F3" s="8" t="s">
        <v>368</v>
      </c>
      <c r="G3" s="8" t="s">
        <v>369</v>
      </c>
      <c r="H3" s="8" t="s">
        <v>370</v>
      </c>
      <c r="I3" s="8" t="s">
        <v>371</v>
      </c>
      <c r="J3" s="8" t="s">
        <v>372</v>
      </c>
      <c r="K3" s="8" t="s">
        <v>105</v>
      </c>
    </row>
    <row r="4" spans="1:1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2">
      <c r="A5" s="12" t="s">
        <v>30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15" t="s">
        <v>490</v>
      </c>
      <c r="B6" s="15" t="s">
        <v>16</v>
      </c>
      <c r="C6" s="16">
        <f>IF(ISBLANK(B6),0,IF(ISERROR(VALUE(B6)),VLOOKUP(B6,dagsoorttabel1,2,FALSE)*dagenperjaar1,VALUE(B6)))</f>
        <v>12</v>
      </c>
      <c r="D6" s="15" t="s">
        <v>491</v>
      </c>
      <c r="E6" s="15" t="s">
        <v>452</v>
      </c>
      <c r="F6" s="94">
        <v>15</v>
      </c>
      <c r="G6" s="19"/>
      <c r="H6" s="95"/>
      <c r="I6" s="19"/>
      <c r="J6" s="32">
        <f>IF(ISBLANK(F6),0,F6)*I6</f>
        <v>0</v>
      </c>
      <c r="K6" s="32">
        <f>C6*J6</f>
        <v>0</v>
      </c>
    </row>
    <row r="7" spans="1:11" x14ac:dyDescent="0.2">
      <c r="A7" s="25" t="s">
        <v>492</v>
      </c>
      <c r="B7" s="25" t="s">
        <v>16</v>
      </c>
      <c r="C7" s="26">
        <f>IF(ISBLANK(B7),0,IF(ISERROR(VALUE(B7)),VLOOKUP(B7,dagsoorttabel1,2,FALSE)*dagenperjaar1,VALUE(B7)))</f>
        <v>12</v>
      </c>
      <c r="D7" s="25" t="s">
        <v>493</v>
      </c>
      <c r="E7" s="25" t="s">
        <v>452</v>
      </c>
      <c r="F7" s="98">
        <v>2</v>
      </c>
      <c r="G7" s="29"/>
      <c r="H7" s="99"/>
      <c r="I7" s="29"/>
      <c r="J7" s="39">
        <f>IF(ISBLANK(F7),0,F7)*I7</f>
        <v>0</v>
      </c>
      <c r="K7" s="39">
        <f>C7*J7</f>
        <v>0</v>
      </c>
    </row>
    <row r="8" spans="1:11" x14ac:dyDescent="0.2">
      <c r="A8" s="41" t="s">
        <v>157</v>
      </c>
      <c r="B8" s="42"/>
      <c r="C8" s="42"/>
      <c r="D8" s="42"/>
      <c r="E8" s="42"/>
      <c r="F8" s="42"/>
      <c r="G8" s="42"/>
      <c r="H8" s="42"/>
      <c r="I8" s="42"/>
      <c r="J8" s="42"/>
      <c r="K8" s="44">
        <f>SUM(K6:K7)</f>
        <v>0</v>
      </c>
    </row>
    <row r="9" spans="1:1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 x14ac:dyDescent="0.2">
      <c r="A10" s="12" t="s">
        <v>373</v>
      </c>
      <c r="B10" s="13"/>
      <c r="C10" s="13"/>
      <c r="D10" s="13"/>
      <c r="E10" s="13"/>
      <c r="F10" s="13"/>
      <c r="G10" s="13"/>
      <c r="H10" s="13"/>
      <c r="I10" s="13"/>
      <c r="J10" s="13"/>
      <c r="K10" s="14"/>
    </row>
    <row r="11" spans="1:11" x14ac:dyDescent="0.2">
      <c r="A11" s="15" t="s">
        <v>494</v>
      </c>
      <c r="B11" s="15" t="s">
        <v>16</v>
      </c>
      <c r="C11" s="16">
        <f>IF(ISBLANK(B11),0,IF(ISERROR(VALUE(B11)),VLOOKUP(B11,dagsoorttabel1,2,FALSE)*dagenperjaar1,VALUE(B11)))</f>
        <v>12</v>
      </c>
      <c r="D11" s="15" t="s">
        <v>491</v>
      </c>
      <c r="E11" s="15" t="s">
        <v>452</v>
      </c>
      <c r="F11" s="94">
        <v>4</v>
      </c>
      <c r="G11" s="19"/>
      <c r="H11" s="95"/>
      <c r="I11" s="19"/>
      <c r="J11" s="32">
        <f>IF(ISBLANK(F11),0,F11)*I11</f>
        <v>0</v>
      </c>
      <c r="K11" s="32">
        <f>C11*J11</f>
        <v>0</v>
      </c>
    </row>
    <row r="12" spans="1:11" x14ac:dyDescent="0.2">
      <c r="A12" s="25" t="s">
        <v>495</v>
      </c>
      <c r="B12" s="25" t="s">
        <v>16</v>
      </c>
      <c r="C12" s="26">
        <f>IF(ISBLANK(B12),0,IF(ISERROR(VALUE(B12)),VLOOKUP(B12,dagsoorttabel1,2,FALSE)*dagenperjaar1,VALUE(B12)))</f>
        <v>12</v>
      </c>
      <c r="D12" s="25" t="s">
        <v>496</v>
      </c>
      <c r="E12" s="25" t="s">
        <v>452</v>
      </c>
      <c r="F12" s="98">
        <v>1</v>
      </c>
      <c r="G12" s="29"/>
      <c r="H12" s="99"/>
      <c r="I12" s="29"/>
      <c r="J12" s="39">
        <f>IF(ISBLANK(F12),0,F12)*I12</f>
        <v>0</v>
      </c>
      <c r="K12" s="39">
        <f>C12*J12</f>
        <v>0</v>
      </c>
    </row>
    <row r="13" spans="1:11" x14ac:dyDescent="0.2">
      <c r="A13" s="41" t="s">
        <v>381</v>
      </c>
      <c r="B13" s="42"/>
      <c r="C13" s="42"/>
      <c r="D13" s="42"/>
      <c r="E13" s="42"/>
      <c r="F13" s="42"/>
      <c r="G13" s="42"/>
      <c r="H13" s="42"/>
      <c r="I13" s="42"/>
      <c r="J13" s="42"/>
      <c r="K13" s="44">
        <f>SUM(K11:K12)</f>
        <v>0</v>
      </c>
    </row>
    <row r="15" spans="1:11" x14ac:dyDescent="0.2">
      <c r="A15" s="41" t="s">
        <v>497</v>
      </c>
      <c r="B15" s="42"/>
      <c r="C15" s="42"/>
      <c r="D15" s="42"/>
      <c r="E15" s="42"/>
      <c r="F15" s="42"/>
      <c r="G15" s="42"/>
      <c r="H15" s="42"/>
      <c r="I15" s="42"/>
      <c r="J15" s="42"/>
      <c r="K15" s="44">
        <f>prijsjaarregie1+prijsjaarregie3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D9DF-5B70-4ACC-966F-FD070D3DBA41}">
  <dimension ref="A1:K12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</cols>
  <sheetData>
    <row r="1" spans="1:11" x14ac:dyDescent="0.2">
      <c r="A1" s="1" t="str">
        <f>CONCATENATE("Bijlage I.10: ",tabeltype," glas")</f>
        <v>Bijlage I.10: Invultabel glas</v>
      </c>
    </row>
    <row r="3" spans="1:11" ht="38.25" x14ac:dyDescent="0.2">
      <c r="A3" s="8" t="s">
        <v>366</v>
      </c>
      <c r="B3" s="8" t="s">
        <v>7</v>
      </c>
      <c r="C3" s="8" t="s">
        <v>367</v>
      </c>
      <c r="D3" s="8" t="s">
        <v>25</v>
      </c>
      <c r="E3" s="8" t="s">
        <v>28</v>
      </c>
      <c r="F3" s="8" t="s">
        <v>368</v>
      </c>
      <c r="G3" s="8" t="s">
        <v>369</v>
      </c>
      <c r="H3" s="8" t="s">
        <v>370</v>
      </c>
      <c r="I3" s="8" t="s">
        <v>371</v>
      </c>
      <c r="J3" s="8" t="s">
        <v>372</v>
      </c>
      <c r="K3" s="8" t="s">
        <v>105</v>
      </c>
    </row>
    <row r="4" spans="1:1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2">
      <c r="A5" s="12" t="s">
        <v>30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15" t="s">
        <v>498</v>
      </c>
      <c r="B6" s="15" t="s">
        <v>18</v>
      </c>
      <c r="C6" s="16">
        <f>IF(ISBLANK(B6),0,IF(ISERROR(VALUE(B6)),VLOOKUP(B6,dagsoorttabel1,2,FALSE)*dagenperjaar1,VALUE(B6)))</f>
        <v>4</v>
      </c>
      <c r="D6" s="15" t="s">
        <v>499</v>
      </c>
      <c r="E6" s="15" t="s">
        <v>376</v>
      </c>
      <c r="F6" s="94">
        <v>298.55</v>
      </c>
      <c r="G6" s="19"/>
      <c r="H6" s="95"/>
      <c r="I6" s="19"/>
      <c r="J6" s="32">
        <f>IF(ISBLANK(F6),0,F6)*I6</f>
        <v>0</v>
      </c>
      <c r="K6" s="32">
        <f>C6*J6</f>
        <v>0</v>
      </c>
    </row>
    <row r="7" spans="1:11" x14ac:dyDescent="0.2">
      <c r="A7" s="20" t="s">
        <v>500</v>
      </c>
      <c r="B7" s="20" t="s">
        <v>20</v>
      </c>
      <c r="C7" s="21">
        <f>IF(ISBLANK(B7),0,IF(ISERROR(VALUE(B7)),VLOOKUP(B7,dagsoorttabel1,2,FALSE)*dagenperjaar1,VALUE(B7)))</f>
        <v>2</v>
      </c>
      <c r="D7" s="20" t="s">
        <v>501</v>
      </c>
      <c r="E7" s="20" t="s">
        <v>376</v>
      </c>
      <c r="F7" s="96">
        <v>298.55</v>
      </c>
      <c r="G7" s="24"/>
      <c r="H7" s="97"/>
      <c r="I7" s="24"/>
      <c r="J7" s="35">
        <f>IF(ISBLANK(F7),0,F7)*I7</f>
        <v>0</v>
      </c>
      <c r="K7" s="35">
        <f>C7*J7</f>
        <v>0</v>
      </c>
    </row>
    <row r="8" spans="1:11" x14ac:dyDescent="0.2">
      <c r="A8" s="20" t="s">
        <v>502</v>
      </c>
      <c r="B8" s="20" t="s">
        <v>20</v>
      </c>
      <c r="C8" s="21">
        <f>IF(ISBLANK(B8),0,IF(ISERROR(VALUE(B8)),VLOOKUP(B8,dagsoorttabel1,2,FALSE)*dagenperjaar1,VALUE(B8)))</f>
        <v>2</v>
      </c>
      <c r="D8" s="20" t="s">
        <v>503</v>
      </c>
      <c r="E8" s="20" t="s">
        <v>376</v>
      </c>
      <c r="F8" s="96">
        <v>157.6</v>
      </c>
      <c r="G8" s="24"/>
      <c r="H8" s="97"/>
      <c r="I8" s="24"/>
      <c r="J8" s="35">
        <f>IF(ISBLANK(F8),0,F8)*I8</f>
        <v>0</v>
      </c>
      <c r="K8" s="35">
        <f>C8*J8</f>
        <v>0</v>
      </c>
    </row>
    <row r="9" spans="1:11" x14ac:dyDescent="0.2">
      <c r="A9" s="25" t="s">
        <v>504</v>
      </c>
      <c r="B9" s="25" t="s">
        <v>18</v>
      </c>
      <c r="C9" s="26">
        <f>IF(ISBLANK(B9),0,IF(ISERROR(VALUE(B9)),VLOOKUP(B9,dagsoorttabel1,2,FALSE)*dagenperjaar1,VALUE(B9)))</f>
        <v>4</v>
      </c>
      <c r="D9" s="25" t="s">
        <v>505</v>
      </c>
      <c r="E9" s="25" t="s">
        <v>506</v>
      </c>
      <c r="F9" s="98">
        <v>1</v>
      </c>
      <c r="G9" s="29"/>
      <c r="H9" s="99"/>
      <c r="I9" s="29"/>
      <c r="J9" s="39">
        <f>IF(ISBLANK(F9),0,F9)*I9</f>
        <v>0</v>
      </c>
      <c r="K9" s="39">
        <f>C9*J9</f>
        <v>0</v>
      </c>
    </row>
    <row r="10" spans="1:11" x14ac:dyDescent="0.2">
      <c r="A10" s="41" t="s">
        <v>157</v>
      </c>
      <c r="B10" s="42"/>
      <c r="C10" s="42"/>
      <c r="D10" s="42"/>
      <c r="E10" s="42"/>
      <c r="F10" s="42"/>
      <c r="G10" s="42"/>
      <c r="H10" s="42"/>
      <c r="I10" s="42"/>
      <c r="J10" s="42"/>
      <c r="K10" s="44">
        <f>SUM(K6:K9)</f>
        <v>0</v>
      </c>
    </row>
    <row r="12" spans="1:11" x14ac:dyDescent="0.2">
      <c r="A12" s="41" t="s">
        <v>507</v>
      </c>
      <c r="B12" s="42"/>
      <c r="C12" s="42"/>
      <c r="D12" s="42"/>
      <c r="E12" s="42"/>
      <c r="F12" s="42"/>
      <c r="G12" s="42"/>
      <c r="H12" s="42"/>
      <c r="I12" s="42"/>
      <c r="J12" s="42"/>
      <c r="K12" s="44">
        <f>prijsjaarglas1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27EF-E0F1-46A9-8444-701D86221C2B}">
  <dimension ref="A1:L1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11.625" customWidth="1"/>
    <col min="5" max="5" width="50.625" customWidth="1"/>
    <col min="6" max="7" width="14.625" customWidth="1"/>
    <col min="8" max="10" width="11.625" customWidth="1"/>
    <col min="11" max="11" width="12.625" customWidth="1"/>
    <col min="12" max="12" width="14.625" customWidth="1"/>
  </cols>
  <sheetData>
    <row r="1" spans="1:12" x14ac:dyDescent="0.2">
      <c r="A1" s="1" t="str">
        <f>CONCATENATE("Bijlage I.11: ",tabeltype," glas per locatie")</f>
        <v>Bijlage I.11: Invultabel glas per locatie</v>
      </c>
    </row>
    <row r="3" spans="1:12" ht="38.25" x14ac:dyDescent="0.2">
      <c r="A3" s="8" t="s">
        <v>366</v>
      </c>
      <c r="B3" s="8" t="s">
        <v>7</v>
      </c>
      <c r="C3" s="8" t="s">
        <v>367</v>
      </c>
      <c r="D3" s="8" t="s">
        <v>325</v>
      </c>
      <c r="E3" s="8" t="s">
        <v>25</v>
      </c>
      <c r="F3" s="8" t="s">
        <v>28</v>
      </c>
      <c r="G3" s="8" t="s">
        <v>368</v>
      </c>
      <c r="H3" s="8" t="s">
        <v>369</v>
      </c>
      <c r="I3" s="8" t="s">
        <v>370</v>
      </c>
      <c r="J3" s="8" t="s">
        <v>371</v>
      </c>
      <c r="K3" s="8" t="s">
        <v>372</v>
      </c>
      <c r="L3" s="8" t="s">
        <v>105</v>
      </c>
    </row>
    <row r="5" spans="1:12" x14ac:dyDescent="0.2">
      <c r="A5" s="101" t="s">
        <v>168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100"/>
    </row>
    <row r="6" spans="1:12" x14ac:dyDescent="0.2">
      <c r="A6" s="15" t="s">
        <v>498</v>
      </c>
      <c r="B6" s="15" t="s">
        <v>18</v>
      </c>
      <c r="C6" s="16">
        <f>IF(ISBLANK(B6),0,IF(ISERROR(VALUE(B6)),VLOOKUP(B6,dagsoorttabel1,2,FALSE)*dagenperjaar1,VALUE(B6)))</f>
        <v>4</v>
      </c>
      <c r="D6" s="15" t="s">
        <v>332</v>
      </c>
      <c r="E6" s="15" t="s">
        <v>499</v>
      </c>
      <c r="F6" s="15" t="s">
        <v>376</v>
      </c>
      <c r="G6" s="94">
        <v>298.55</v>
      </c>
      <c r="H6" s="102">
        <f>Glas!G6</f>
        <v>0</v>
      </c>
      <c r="I6" s="95"/>
      <c r="J6" s="102">
        <f>Glas!I6</f>
        <v>0</v>
      </c>
      <c r="K6" s="32">
        <f>IF(ISBLANK(G6),0,G6)*J6</f>
        <v>0</v>
      </c>
      <c r="L6" s="32">
        <f>C6*K6</f>
        <v>0</v>
      </c>
    </row>
    <row r="7" spans="1:12" x14ac:dyDescent="0.2">
      <c r="A7" s="20" t="s">
        <v>500</v>
      </c>
      <c r="B7" s="20" t="s">
        <v>20</v>
      </c>
      <c r="C7" s="21">
        <f>IF(ISBLANK(B7),0,IF(ISERROR(VALUE(B7)),VLOOKUP(B7,dagsoorttabel1,2,FALSE)*dagenperjaar1,VALUE(B7)))</f>
        <v>2</v>
      </c>
      <c r="D7" s="20" t="s">
        <v>332</v>
      </c>
      <c r="E7" s="20" t="s">
        <v>501</v>
      </c>
      <c r="F7" s="20" t="s">
        <v>376</v>
      </c>
      <c r="G7" s="96">
        <v>298.55</v>
      </c>
      <c r="H7" s="103">
        <f>Glas!G7</f>
        <v>0</v>
      </c>
      <c r="I7" s="97"/>
      <c r="J7" s="103">
        <f>Glas!I7</f>
        <v>0</v>
      </c>
      <c r="K7" s="35">
        <f>IF(ISBLANK(G7),0,G7)*J7</f>
        <v>0</v>
      </c>
      <c r="L7" s="35">
        <f>C7*K7</f>
        <v>0</v>
      </c>
    </row>
    <row r="8" spans="1:12" x14ac:dyDescent="0.2">
      <c r="A8" s="20" t="s">
        <v>502</v>
      </c>
      <c r="B8" s="20" t="s">
        <v>20</v>
      </c>
      <c r="C8" s="21">
        <f>IF(ISBLANK(B8),0,IF(ISERROR(VALUE(B8)),VLOOKUP(B8,dagsoorttabel1,2,FALSE)*dagenperjaar1,VALUE(B8)))</f>
        <v>2</v>
      </c>
      <c r="D8" s="20" t="s">
        <v>332</v>
      </c>
      <c r="E8" s="20" t="s">
        <v>503</v>
      </c>
      <c r="F8" s="20" t="s">
        <v>376</v>
      </c>
      <c r="G8" s="96">
        <v>157.6</v>
      </c>
      <c r="H8" s="103">
        <f>Glas!G8</f>
        <v>0</v>
      </c>
      <c r="I8" s="97"/>
      <c r="J8" s="103">
        <f>Glas!I8</f>
        <v>0</v>
      </c>
      <c r="K8" s="35">
        <f>IF(ISBLANK(G8),0,G8)*J8</f>
        <v>0</v>
      </c>
      <c r="L8" s="35">
        <f>C8*K8</f>
        <v>0</v>
      </c>
    </row>
    <row r="9" spans="1:12" x14ac:dyDescent="0.2">
      <c r="A9" s="25" t="s">
        <v>504</v>
      </c>
      <c r="B9" s="25" t="s">
        <v>18</v>
      </c>
      <c r="C9" s="26">
        <f>IF(ISBLANK(B9),0,IF(ISERROR(VALUE(B9)),VLOOKUP(B9,dagsoorttabel1,2,FALSE)*dagenperjaar1,VALUE(B9)))</f>
        <v>4</v>
      </c>
      <c r="D9" s="25" t="s">
        <v>332</v>
      </c>
      <c r="E9" s="25" t="s">
        <v>505</v>
      </c>
      <c r="F9" s="25" t="s">
        <v>506</v>
      </c>
      <c r="G9" s="98">
        <v>1</v>
      </c>
      <c r="H9" s="104">
        <f>Glas!G9</f>
        <v>0</v>
      </c>
      <c r="I9" s="99"/>
      <c r="J9" s="104">
        <f>Glas!I9</f>
        <v>0</v>
      </c>
      <c r="K9" s="39">
        <f>IF(ISBLANK(G9),0,G9)*J9</f>
        <v>0</v>
      </c>
      <c r="L9" s="39">
        <f>C9*K9</f>
        <v>0</v>
      </c>
    </row>
    <row r="10" spans="1:12" x14ac:dyDescent="0.2">
      <c r="A10" s="93" t="s">
        <v>357</v>
      </c>
      <c r="B10" s="42"/>
      <c r="C10" s="42"/>
      <c r="D10" s="42"/>
      <c r="E10" s="42"/>
      <c r="F10" s="42"/>
      <c r="G10" s="42"/>
      <c r="H10" s="42"/>
      <c r="I10" s="42"/>
      <c r="J10" s="42"/>
      <c r="K10" s="44">
        <f>SUM(K6:K9)</f>
        <v>0</v>
      </c>
      <c r="L10" s="44">
        <f>SUM(L6:L9)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C286-8F89-447B-940F-194CF04E553D}">
  <dimension ref="A1:E19"/>
  <sheetViews>
    <sheetView tabSelected="1" workbookViewId="0">
      <selection activeCell="E33" sqref="E33"/>
    </sheetView>
  </sheetViews>
  <sheetFormatPr defaultRowHeight="12.75" x14ac:dyDescent="0.2"/>
  <cols>
    <col min="1" max="1" width="30.625" customWidth="1"/>
    <col min="2" max="5" width="20.625" customWidth="1"/>
  </cols>
  <sheetData>
    <row r="1" spans="1:5" x14ac:dyDescent="0.2">
      <c r="A1" s="1" t="str">
        <f>CONCATENATE("Bijlage I.12: ",tabeltype," totaalblad schoonmaakwerk")</f>
        <v>Bijlage I.12: Invultabel totaalblad schoonmaakwerk</v>
      </c>
    </row>
    <row r="3" spans="1:5" ht="25.5" x14ac:dyDescent="0.2">
      <c r="A3" s="8" t="s">
        <v>508</v>
      </c>
      <c r="B3" s="8" t="s">
        <v>509</v>
      </c>
      <c r="C3" s="8" t="s">
        <v>510</v>
      </c>
      <c r="D3" s="8" t="s">
        <v>511</v>
      </c>
      <c r="E3" s="8" t="s">
        <v>512</v>
      </c>
    </row>
    <row r="4" spans="1:5" x14ac:dyDescent="0.2">
      <c r="A4" s="105" t="s">
        <v>513</v>
      </c>
      <c r="B4" s="30">
        <f>urenjaartotaaloverzicht</f>
        <v>0</v>
      </c>
      <c r="C4" s="85"/>
      <c r="D4" s="32">
        <f>prijsjaartotaaloverzicht</f>
        <v>0</v>
      </c>
      <c r="E4" s="32">
        <f>D4*1.21</f>
        <v>0</v>
      </c>
    </row>
    <row r="5" spans="1:5" x14ac:dyDescent="0.2">
      <c r="A5" s="106" t="s">
        <v>354</v>
      </c>
      <c r="B5" s="88"/>
      <c r="C5" s="33">
        <f>urenjaarnietmeewerkend</f>
        <v>0</v>
      </c>
      <c r="D5" s="35">
        <f>prijsjaarnietmeewerkend</f>
        <v>0</v>
      </c>
      <c r="E5" s="35">
        <f>D5*1.21</f>
        <v>0</v>
      </c>
    </row>
    <row r="6" spans="1:5" ht="25.5" x14ac:dyDescent="0.2">
      <c r="A6" s="106" t="s">
        <v>514</v>
      </c>
      <c r="B6" s="88"/>
      <c r="C6" s="88"/>
      <c r="D6" s="35">
        <f>prijsjaarafroep</f>
        <v>0</v>
      </c>
      <c r="E6" s="35">
        <f>D6*1.21</f>
        <v>0</v>
      </c>
    </row>
    <row r="7" spans="1:5" x14ac:dyDescent="0.2">
      <c r="A7" s="106" t="s">
        <v>515</v>
      </c>
      <c r="B7" s="88"/>
      <c r="C7" s="88"/>
      <c r="D7" s="35">
        <f>prijsjaarregie</f>
        <v>0</v>
      </c>
      <c r="E7" s="35">
        <f>D7*1.21</f>
        <v>0</v>
      </c>
    </row>
    <row r="8" spans="1:5" x14ac:dyDescent="0.2">
      <c r="A8" s="107" t="s">
        <v>516</v>
      </c>
      <c r="B8" s="108"/>
      <c r="C8" s="108"/>
      <c r="D8" s="39">
        <f>prijsjaarglas</f>
        <v>0</v>
      </c>
      <c r="E8" s="39">
        <f>D8*1.21</f>
        <v>0</v>
      </c>
    </row>
    <row r="10" spans="1:5" x14ac:dyDescent="0.2">
      <c r="A10" s="8" t="s">
        <v>517</v>
      </c>
      <c r="B10" s="43">
        <f>SUM(B4:B8)</f>
        <v>0</v>
      </c>
      <c r="C10" s="43">
        <f>SUM(C4:C8)</f>
        <v>0</v>
      </c>
      <c r="D10" s="44">
        <f>SUM(D4:D8)</f>
        <v>0</v>
      </c>
      <c r="E10" s="44">
        <f>D10*1.21</f>
        <v>0</v>
      </c>
    </row>
    <row r="12" spans="1:5" x14ac:dyDescent="0.2">
      <c r="A12" s="8" t="s">
        <v>518</v>
      </c>
      <c r="B12" s="109">
        <f>IF(B10&gt;0,C10/B10,0)</f>
        <v>0</v>
      </c>
    </row>
    <row r="17" spans="1:5" ht="15" x14ac:dyDescent="0.25">
      <c r="A17" s="110" t="s">
        <v>519</v>
      </c>
      <c r="B17" s="111"/>
      <c r="C17" s="111"/>
      <c r="D17" s="111"/>
      <c r="E17" s="112">
        <f>D4+D5+D8</f>
        <v>0</v>
      </c>
    </row>
    <row r="18" spans="1:5" ht="15" x14ac:dyDescent="0.25">
      <c r="A18" s="111"/>
      <c r="B18" s="111"/>
      <c r="C18" s="111"/>
      <c r="D18" s="111"/>
      <c r="E18" s="111"/>
    </row>
    <row r="19" spans="1:5" ht="15" x14ac:dyDescent="0.25">
      <c r="A19" s="110" t="s">
        <v>520</v>
      </c>
      <c r="B19" s="111"/>
      <c r="C19" s="111"/>
      <c r="D19" s="111"/>
      <c r="E19" s="112">
        <f>D6+D7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51CF-277A-4685-9E30-496DB7A53A78}">
  <dimension ref="A1:H36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I.1: ",tabeltype," categorienormen")</f>
        <v>Bijlage I.1: Invultabel categorienormen</v>
      </c>
    </row>
    <row r="3" spans="1:8" ht="38.25" x14ac:dyDescent="0.2">
      <c r="A3" s="8" t="s">
        <v>22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30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31</v>
      </c>
      <c r="B6" s="16" t="s">
        <v>32</v>
      </c>
      <c r="C6" s="15">
        <v>1</v>
      </c>
      <c r="D6" s="15" t="s">
        <v>33</v>
      </c>
      <c r="E6" s="17"/>
      <c r="F6" s="18"/>
      <c r="G6" s="15" t="s">
        <v>34</v>
      </c>
      <c r="H6" s="19"/>
    </row>
    <row r="7" spans="1:8" x14ac:dyDescent="0.2">
      <c r="A7" s="20" t="s">
        <v>35</v>
      </c>
      <c r="B7" s="21" t="s">
        <v>32</v>
      </c>
      <c r="C7" s="20">
        <v>51</v>
      </c>
      <c r="D7" s="20" t="s">
        <v>36</v>
      </c>
      <c r="E7" s="22"/>
      <c r="F7" s="23"/>
      <c r="G7" s="20" t="s">
        <v>34</v>
      </c>
      <c r="H7" s="24"/>
    </row>
    <row r="8" spans="1:8" x14ac:dyDescent="0.2">
      <c r="A8" s="20" t="s">
        <v>37</v>
      </c>
      <c r="B8" s="21" t="s">
        <v>32</v>
      </c>
      <c r="C8" s="20">
        <v>1</v>
      </c>
      <c r="D8" s="20" t="s">
        <v>38</v>
      </c>
      <c r="E8" s="22"/>
      <c r="F8" s="23"/>
      <c r="G8" s="20" t="s">
        <v>34</v>
      </c>
      <c r="H8" s="24"/>
    </row>
    <row r="9" spans="1:8" x14ac:dyDescent="0.2">
      <c r="A9" s="20" t="s">
        <v>39</v>
      </c>
      <c r="B9" s="21" t="s">
        <v>32</v>
      </c>
      <c r="C9" s="20">
        <v>51</v>
      </c>
      <c r="D9" s="20" t="s">
        <v>40</v>
      </c>
      <c r="E9" s="22"/>
      <c r="F9" s="23"/>
      <c r="G9" s="20" t="s">
        <v>34</v>
      </c>
      <c r="H9" s="24"/>
    </row>
    <row r="10" spans="1:8" x14ac:dyDescent="0.2">
      <c r="A10" s="20" t="s">
        <v>41</v>
      </c>
      <c r="B10" s="21" t="s">
        <v>42</v>
      </c>
      <c r="C10" s="20">
        <v>1</v>
      </c>
      <c r="D10" s="20" t="s">
        <v>43</v>
      </c>
      <c r="E10" s="22"/>
      <c r="F10" s="23"/>
      <c r="G10" s="20" t="s">
        <v>34</v>
      </c>
      <c r="H10" s="24"/>
    </row>
    <row r="11" spans="1:8" x14ac:dyDescent="0.2">
      <c r="A11" s="20" t="s">
        <v>44</v>
      </c>
      <c r="B11" s="21" t="s">
        <v>42</v>
      </c>
      <c r="C11" s="20">
        <v>51</v>
      </c>
      <c r="D11" s="20" t="s">
        <v>45</v>
      </c>
      <c r="E11" s="22"/>
      <c r="F11" s="23"/>
      <c r="G11" s="20" t="s">
        <v>34</v>
      </c>
      <c r="H11" s="24"/>
    </row>
    <row r="12" spans="1:8" x14ac:dyDescent="0.2">
      <c r="A12" s="20" t="s">
        <v>46</v>
      </c>
      <c r="B12" s="21" t="s">
        <v>42</v>
      </c>
      <c r="C12" s="20">
        <v>1</v>
      </c>
      <c r="D12" s="20" t="s">
        <v>47</v>
      </c>
      <c r="E12" s="22"/>
      <c r="F12" s="23"/>
      <c r="G12" s="20" t="s">
        <v>34</v>
      </c>
      <c r="H12" s="24"/>
    </row>
    <row r="13" spans="1:8" x14ac:dyDescent="0.2">
      <c r="A13" s="20" t="s">
        <v>48</v>
      </c>
      <c r="B13" s="21" t="s">
        <v>42</v>
      </c>
      <c r="C13" s="20">
        <v>51</v>
      </c>
      <c r="D13" s="20" t="s">
        <v>49</v>
      </c>
      <c r="E13" s="22"/>
      <c r="F13" s="23"/>
      <c r="G13" s="20" t="s">
        <v>34</v>
      </c>
      <c r="H13" s="24"/>
    </row>
    <row r="14" spans="1:8" x14ac:dyDescent="0.2">
      <c r="A14" s="20" t="s">
        <v>50</v>
      </c>
      <c r="B14" s="21" t="s">
        <v>42</v>
      </c>
      <c r="C14" s="20">
        <v>1</v>
      </c>
      <c r="D14" s="20" t="s">
        <v>51</v>
      </c>
      <c r="E14" s="22"/>
      <c r="F14" s="23"/>
      <c r="G14" s="20" t="s">
        <v>34</v>
      </c>
      <c r="H14" s="24"/>
    </row>
    <row r="15" spans="1:8" x14ac:dyDescent="0.2">
      <c r="A15" s="20" t="s">
        <v>52</v>
      </c>
      <c r="B15" s="21" t="s">
        <v>42</v>
      </c>
      <c r="C15" s="20">
        <v>51</v>
      </c>
      <c r="D15" s="20" t="s">
        <v>53</v>
      </c>
      <c r="E15" s="22"/>
      <c r="F15" s="23"/>
      <c r="G15" s="20" t="s">
        <v>34</v>
      </c>
      <c r="H15" s="24"/>
    </row>
    <row r="16" spans="1:8" x14ac:dyDescent="0.2">
      <c r="A16" s="20" t="s">
        <v>54</v>
      </c>
      <c r="B16" s="21" t="s">
        <v>55</v>
      </c>
      <c r="C16" s="20">
        <v>1</v>
      </c>
      <c r="D16" s="20" t="s">
        <v>56</v>
      </c>
      <c r="E16" s="22"/>
      <c r="F16" s="23"/>
      <c r="G16" s="20" t="s">
        <v>34</v>
      </c>
      <c r="H16" s="24"/>
    </row>
    <row r="17" spans="1:8" x14ac:dyDescent="0.2">
      <c r="A17" s="20" t="s">
        <v>57</v>
      </c>
      <c r="B17" s="21" t="s">
        <v>55</v>
      </c>
      <c r="C17" s="20">
        <v>51</v>
      </c>
      <c r="D17" s="20" t="s">
        <v>58</v>
      </c>
      <c r="E17" s="22"/>
      <c r="F17" s="23"/>
      <c r="G17" s="20" t="s">
        <v>34</v>
      </c>
      <c r="H17" s="24"/>
    </row>
    <row r="18" spans="1:8" x14ac:dyDescent="0.2">
      <c r="A18" s="20" t="s">
        <v>59</v>
      </c>
      <c r="B18" s="21" t="s">
        <v>55</v>
      </c>
      <c r="C18" s="20">
        <v>1</v>
      </c>
      <c r="D18" s="20" t="s">
        <v>60</v>
      </c>
      <c r="E18" s="22"/>
      <c r="F18" s="23"/>
      <c r="G18" s="20" t="s">
        <v>34</v>
      </c>
      <c r="H18" s="24"/>
    </row>
    <row r="19" spans="1:8" x14ac:dyDescent="0.2">
      <c r="A19" s="20" t="s">
        <v>61</v>
      </c>
      <c r="B19" s="21" t="s">
        <v>55</v>
      </c>
      <c r="C19" s="20">
        <v>51</v>
      </c>
      <c r="D19" s="20" t="s">
        <v>62</v>
      </c>
      <c r="E19" s="22"/>
      <c r="F19" s="23"/>
      <c r="G19" s="20" t="s">
        <v>34</v>
      </c>
      <c r="H19" s="24"/>
    </row>
    <row r="20" spans="1:8" x14ac:dyDescent="0.2">
      <c r="A20" s="20" t="s">
        <v>63</v>
      </c>
      <c r="B20" s="21" t="s">
        <v>55</v>
      </c>
      <c r="C20" s="20">
        <v>1</v>
      </c>
      <c r="D20" s="20" t="s">
        <v>64</v>
      </c>
      <c r="E20" s="22"/>
      <c r="F20" s="23"/>
      <c r="G20" s="20" t="s">
        <v>34</v>
      </c>
      <c r="H20" s="24"/>
    </row>
    <row r="21" spans="1:8" x14ac:dyDescent="0.2">
      <c r="A21" s="20" t="s">
        <v>65</v>
      </c>
      <c r="B21" s="21" t="s">
        <v>55</v>
      </c>
      <c r="C21" s="20">
        <v>51</v>
      </c>
      <c r="D21" s="20" t="s">
        <v>66</v>
      </c>
      <c r="E21" s="22"/>
      <c r="F21" s="23"/>
      <c r="G21" s="20" t="s">
        <v>34</v>
      </c>
      <c r="H21" s="24"/>
    </row>
    <row r="22" spans="1:8" x14ac:dyDescent="0.2">
      <c r="A22" s="20" t="s">
        <v>67</v>
      </c>
      <c r="B22" s="21" t="s">
        <v>55</v>
      </c>
      <c r="C22" s="20">
        <v>1</v>
      </c>
      <c r="D22" s="20" t="s">
        <v>68</v>
      </c>
      <c r="E22" s="22"/>
      <c r="F22" s="23"/>
      <c r="G22" s="20" t="s">
        <v>34</v>
      </c>
      <c r="H22" s="24"/>
    </row>
    <row r="23" spans="1:8" x14ac:dyDescent="0.2">
      <c r="A23" s="20" t="s">
        <v>69</v>
      </c>
      <c r="B23" s="21" t="s">
        <v>55</v>
      </c>
      <c r="C23" s="20">
        <v>51</v>
      </c>
      <c r="D23" s="20" t="s">
        <v>70</v>
      </c>
      <c r="E23" s="22"/>
      <c r="F23" s="23"/>
      <c r="G23" s="20" t="s">
        <v>34</v>
      </c>
      <c r="H23" s="24"/>
    </row>
    <row r="24" spans="1:8" x14ac:dyDescent="0.2">
      <c r="A24" s="20" t="s">
        <v>71</v>
      </c>
      <c r="B24" s="21" t="s">
        <v>55</v>
      </c>
      <c r="C24" s="20">
        <v>1</v>
      </c>
      <c r="D24" s="20" t="s">
        <v>72</v>
      </c>
      <c r="E24" s="22"/>
      <c r="F24" s="23"/>
      <c r="G24" s="20" t="s">
        <v>34</v>
      </c>
      <c r="H24" s="24"/>
    </row>
    <row r="25" spans="1:8" x14ac:dyDescent="0.2">
      <c r="A25" s="20" t="s">
        <v>73</v>
      </c>
      <c r="B25" s="21" t="s">
        <v>55</v>
      </c>
      <c r="C25" s="20">
        <v>51</v>
      </c>
      <c r="D25" s="20" t="s">
        <v>74</v>
      </c>
      <c r="E25" s="22"/>
      <c r="F25" s="23"/>
      <c r="G25" s="20" t="s">
        <v>34</v>
      </c>
      <c r="H25" s="24"/>
    </row>
    <row r="26" spans="1:8" x14ac:dyDescent="0.2">
      <c r="A26" s="20" t="s">
        <v>75</v>
      </c>
      <c r="B26" s="21" t="s">
        <v>55</v>
      </c>
      <c r="C26" s="20">
        <v>1</v>
      </c>
      <c r="D26" s="20" t="s">
        <v>76</v>
      </c>
      <c r="E26" s="22"/>
      <c r="F26" s="23"/>
      <c r="G26" s="20" t="s">
        <v>34</v>
      </c>
      <c r="H26" s="24"/>
    </row>
    <row r="27" spans="1:8" x14ac:dyDescent="0.2">
      <c r="A27" s="20" t="s">
        <v>77</v>
      </c>
      <c r="B27" s="21" t="s">
        <v>55</v>
      </c>
      <c r="C27" s="20">
        <v>51</v>
      </c>
      <c r="D27" s="20" t="s">
        <v>78</v>
      </c>
      <c r="E27" s="22"/>
      <c r="F27" s="23"/>
      <c r="G27" s="20" t="s">
        <v>34</v>
      </c>
      <c r="H27" s="24"/>
    </row>
    <row r="28" spans="1:8" x14ac:dyDescent="0.2">
      <c r="A28" s="20" t="s">
        <v>79</v>
      </c>
      <c r="B28" s="21" t="s">
        <v>55</v>
      </c>
      <c r="C28" s="20">
        <v>1</v>
      </c>
      <c r="D28" s="20" t="s">
        <v>80</v>
      </c>
      <c r="E28" s="22"/>
      <c r="F28" s="23"/>
      <c r="G28" s="20" t="s">
        <v>34</v>
      </c>
      <c r="H28" s="24"/>
    </row>
    <row r="29" spans="1:8" x14ac:dyDescent="0.2">
      <c r="A29" s="20" t="s">
        <v>81</v>
      </c>
      <c r="B29" s="21" t="s">
        <v>55</v>
      </c>
      <c r="C29" s="20">
        <v>51</v>
      </c>
      <c r="D29" s="20" t="s">
        <v>82</v>
      </c>
      <c r="E29" s="22"/>
      <c r="F29" s="23"/>
      <c r="G29" s="20" t="s">
        <v>34</v>
      </c>
      <c r="H29" s="24"/>
    </row>
    <row r="30" spans="1:8" x14ac:dyDescent="0.2">
      <c r="A30" s="20" t="s">
        <v>83</v>
      </c>
      <c r="B30" s="21" t="s">
        <v>55</v>
      </c>
      <c r="C30" s="20">
        <v>1</v>
      </c>
      <c r="D30" s="20" t="s">
        <v>84</v>
      </c>
      <c r="E30" s="22"/>
      <c r="F30" s="23"/>
      <c r="G30" s="20" t="s">
        <v>34</v>
      </c>
      <c r="H30" s="24"/>
    </row>
    <row r="31" spans="1:8" x14ac:dyDescent="0.2">
      <c r="A31" s="20" t="s">
        <v>85</v>
      </c>
      <c r="B31" s="21" t="s">
        <v>55</v>
      </c>
      <c r="C31" s="20">
        <v>51</v>
      </c>
      <c r="D31" s="20" t="s">
        <v>86</v>
      </c>
      <c r="E31" s="22"/>
      <c r="F31" s="23"/>
      <c r="G31" s="20" t="s">
        <v>34</v>
      </c>
      <c r="H31" s="24"/>
    </row>
    <row r="32" spans="1:8" x14ac:dyDescent="0.2">
      <c r="A32" s="20" t="s">
        <v>87</v>
      </c>
      <c r="B32" s="21" t="s">
        <v>55</v>
      </c>
      <c r="C32" s="20">
        <v>1</v>
      </c>
      <c r="D32" s="20" t="s">
        <v>88</v>
      </c>
      <c r="E32" s="22"/>
      <c r="F32" s="23"/>
      <c r="G32" s="20" t="s">
        <v>34</v>
      </c>
      <c r="H32" s="24"/>
    </row>
    <row r="33" spans="1:8" x14ac:dyDescent="0.2">
      <c r="A33" s="20" t="s">
        <v>89</v>
      </c>
      <c r="B33" s="21" t="s">
        <v>55</v>
      </c>
      <c r="C33" s="20">
        <v>51</v>
      </c>
      <c r="D33" s="20" t="s">
        <v>90</v>
      </c>
      <c r="E33" s="22"/>
      <c r="F33" s="23"/>
      <c r="G33" s="20" t="s">
        <v>34</v>
      </c>
      <c r="H33" s="24"/>
    </row>
    <row r="34" spans="1:8" x14ac:dyDescent="0.2">
      <c r="A34" s="20" t="s">
        <v>91</v>
      </c>
      <c r="B34" s="21" t="s">
        <v>55</v>
      </c>
      <c r="C34" s="20">
        <v>1</v>
      </c>
      <c r="D34" s="20" t="s">
        <v>92</v>
      </c>
      <c r="E34" s="22"/>
      <c r="F34" s="23"/>
      <c r="G34" s="20" t="s">
        <v>34</v>
      </c>
      <c r="H34" s="24"/>
    </row>
    <row r="35" spans="1:8" x14ac:dyDescent="0.2">
      <c r="A35" s="20" t="s">
        <v>93</v>
      </c>
      <c r="B35" s="21" t="s">
        <v>55</v>
      </c>
      <c r="C35" s="20">
        <v>51</v>
      </c>
      <c r="D35" s="20" t="s">
        <v>94</v>
      </c>
      <c r="E35" s="22"/>
      <c r="F35" s="23"/>
      <c r="G35" s="20" t="s">
        <v>34</v>
      </c>
      <c r="H35" s="24"/>
    </row>
    <row r="36" spans="1:8" x14ac:dyDescent="0.2">
      <c r="A36" s="25" t="s">
        <v>95</v>
      </c>
      <c r="B36" s="26" t="s">
        <v>96</v>
      </c>
      <c r="C36" s="25">
        <v>1</v>
      </c>
      <c r="D36" s="25" t="s">
        <v>97</v>
      </c>
      <c r="E36" s="27"/>
      <c r="F36" s="28"/>
      <c r="G36" s="25" t="s">
        <v>34</v>
      </c>
      <c r="H36" s="29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6926-F6D4-422C-BC28-B938E3D8978E}">
  <dimension ref="A1:M3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7" width="11.625" customWidth="1"/>
    <col min="8" max="8" width="9.625" customWidth="1"/>
    <col min="9" max="11" width="11.625" customWidth="1"/>
    <col min="12" max="12" width="12.625" customWidth="1"/>
    <col min="13" max="13" width="14.625" customWidth="1"/>
  </cols>
  <sheetData>
    <row r="1" spans="1:13" x14ac:dyDescent="0.2">
      <c r="A1" s="1" t="str">
        <f>CONCATENATE("Bijlage I.2: ",tabeltype," regulier werk")</f>
        <v>Bijlage I.2: Invultabel regulier werk</v>
      </c>
    </row>
    <row r="3" spans="1:13" ht="38.25" x14ac:dyDescent="0.2">
      <c r="A3" s="8" t="s">
        <v>98</v>
      </c>
      <c r="B3" s="8" t="s">
        <v>7</v>
      </c>
      <c r="C3" s="8" t="s">
        <v>99</v>
      </c>
      <c r="D3" s="8" t="s">
        <v>25</v>
      </c>
      <c r="E3" s="8" t="s">
        <v>100</v>
      </c>
      <c r="F3" s="8" t="s">
        <v>101</v>
      </c>
      <c r="G3" s="8" t="s">
        <v>26</v>
      </c>
      <c r="H3" s="8" t="s">
        <v>28</v>
      </c>
      <c r="I3" s="8" t="s">
        <v>29</v>
      </c>
      <c r="J3" s="8" t="s">
        <v>102</v>
      </c>
      <c r="K3" s="8" t="s">
        <v>103</v>
      </c>
      <c r="L3" s="8" t="s">
        <v>104</v>
      </c>
      <c r="M3" s="8" t="s">
        <v>105</v>
      </c>
    </row>
    <row r="4" spans="1:13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13" x14ac:dyDescent="0.2">
      <c r="A5" s="12" t="s">
        <v>30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2">
      <c r="A6" s="15" t="s">
        <v>106</v>
      </c>
      <c r="B6" s="15" t="s">
        <v>9</v>
      </c>
      <c r="C6" s="15" t="s">
        <v>107</v>
      </c>
      <c r="D6" s="15" t="s">
        <v>108</v>
      </c>
      <c r="E6" s="30">
        <v>20.77</v>
      </c>
      <c r="F6" s="30">
        <f t="shared" ref="F6:F29" si="0">E6*VLOOKUP(B6,dagsoorttabel1,2,FALSE)</f>
        <v>20.77</v>
      </c>
      <c r="G6" s="31">
        <f>IF(AND(catpn_1_BHB_1&gt;0,catpn_1_BHV_51&gt;0),(dagenperjaar1*VLOOKUP(B6,dagsoorttabel1,2,FALSE))/(((dagenperjaar1*VLOOKUP(B6,dagsoorttabel1,2,FALSE))-catfd_1_BHV_51)/catpn_1_BHB_1+catfd_1_BHV_51/catpn_1_BHV_51),0)</f>
        <v>0</v>
      </c>
      <c r="H6" s="15" t="s">
        <v>34</v>
      </c>
      <c r="I6" s="32">
        <f>IF(AND(catpn_1_BHB_1&gt;0,catpn_1_BHV_51&gt;0),(cattf_1_BHB_1*((dagenperjaar1*VLOOKUP(B6,dagsoorttabel1,2,FALSE))-catfd_1_BHV_51)/catpn_1_BHB_1+cattf_1_BHV_51*catfd_1_BHV_51/catpn_1_BHV_51)/(((dagenperjaar1*VLOOKUP(B6,dagsoorttabel1,2,FALSE))-catfd_1_BHV_51)/catpn_1_BHB_1+catfd_1_BHV_51/catpn_1_BHV_51),0)</f>
        <v>0</v>
      </c>
      <c r="J6" s="30">
        <f t="shared" ref="J6:J21" si="1">IF(OR(ISBLANK(G6),G6=0),0,F6/ROUND(G6,4))</f>
        <v>0</v>
      </c>
      <c r="K6" s="32">
        <f t="shared" ref="K6:K29" si="2">ROUND(I6,2)*J6</f>
        <v>0</v>
      </c>
      <c r="L6" s="30">
        <f t="shared" ref="L6:L29" si="3">J6*dagenperjaar1</f>
        <v>0</v>
      </c>
      <c r="M6" s="32">
        <f t="shared" ref="M6:M29" si="4">L6*ROUND(I6,2)</f>
        <v>0</v>
      </c>
    </row>
    <row r="7" spans="1:13" x14ac:dyDescent="0.2">
      <c r="A7" s="20" t="s">
        <v>109</v>
      </c>
      <c r="B7" s="20" t="s">
        <v>9</v>
      </c>
      <c r="C7" s="20" t="s">
        <v>107</v>
      </c>
      <c r="D7" s="20" t="s">
        <v>110</v>
      </c>
      <c r="E7" s="33">
        <v>459.30999999999995</v>
      </c>
      <c r="F7" s="33">
        <f t="shared" si="0"/>
        <v>459.30999999999995</v>
      </c>
      <c r="G7" s="34">
        <f>IF(AND(catpn_1_BZB_1&gt;0,catpn_1_BZV_51&gt;0),(dagenperjaar1*VLOOKUP(B7,dagsoorttabel1,2,FALSE))/(((dagenperjaar1*VLOOKUP(B7,dagsoorttabel1,2,FALSE))-catfd_1_BZV_51)/catpn_1_BZB_1+catfd_1_BZV_51/catpn_1_BZV_51),0)</f>
        <v>0</v>
      </c>
      <c r="H7" s="20" t="s">
        <v>34</v>
      </c>
      <c r="I7" s="35">
        <f>IF(AND(catpn_1_BZB_1&gt;0,catpn_1_BZV_51&gt;0),(cattf_1_BZB_1*((dagenperjaar1*VLOOKUP(B7,dagsoorttabel1,2,FALSE))-catfd_1_BZV_51)/catpn_1_BZB_1+cattf_1_BZV_51*catfd_1_BZV_51/catpn_1_BZV_51)/(((dagenperjaar1*VLOOKUP(B7,dagsoorttabel1,2,FALSE))-catfd_1_BZV_51)/catpn_1_BZB_1+catfd_1_BZV_51/catpn_1_BZV_51),0)</f>
        <v>0</v>
      </c>
      <c r="J7" s="33">
        <f t="shared" si="1"/>
        <v>0</v>
      </c>
      <c r="K7" s="35">
        <f t="shared" si="2"/>
        <v>0</v>
      </c>
      <c r="L7" s="33">
        <f t="shared" si="3"/>
        <v>0</v>
      </c>
      <c r="M7" s="35">
        <f t="shared" si="4"/>
        <v>0</v>
      </c>
    </row>
    <row r="8" spans="1:13" x14ac:dyDescent="0.2">
      <c r="A8" s="20" t="s">
        <v>111</v>
      </c>
      <c r="B8" s="20" t="s">
        <v>9</v>
      </c>
      <c r="C8" s="20" t="s">
        <v>107</v>
      </c>
      <c r="D8" s="20" t="s">
        <v>112</v>
      </c>
      <c r="E8" s="33">
        <v>3.55</v>
      </c>
      <c r="F8" s="33">
        <f t="shared" si="0"/>
        <v>3.55</v>
      </c>
      <c r="G8" s="34">
        <f>IF(AND(catpn_1_DHB_1&gt;0,catpn_1_DHV_51&gt;0),(dagenperjaar1*VLOOKUP(B8,dagsoorttabel1,2,FALSE))/(((dagenperjaar1*VLOOKUP(B8,dagsoorttabel1,2,FALSE))-catfd_1_DHV_51)/catpn_1_DHB_1+catfd_1_DHV_51/catpn_1_DHV_51),0)</f>
        <v>0</v>
      </c>
      <c r="H8" s="20" t="s">
        <v>34</v>
      </c>
      <c r="I8" s="35">
        <f>IF(AND(catpn_1_DHB_1&gt;0,catpn_1_DHV_51&gt;0),(cattf_1_DHB_1*((dagenperjaar1*VLOOKUP(B8,dagsoorttabel1,2,FALSE))-catfd_1_DHV_51)/catpn_1_DHB_1+cattf_1_DHV_51*catfd_1_DHV_51/catpn_1_DHV_51)/(((dagenperjaar1*VLOOKUP(B8,dagsoorttabel1,2,FALSE))-catfd_1_DHV_51)/catpn_1_DHB_1+catfd_1_DHV_51/catpn_1_DHV_51),0)</f>
        <v>0</v>
      </c>
      <c r="J8" s="33">
        <f t="shared" si="1"/>
        <v>0</v>
      </c>
      <c r="K8" s="35">
        <f t="shared" si="2"/>
        <v>0</v>
      </c>
      <c r="L8" s="33">
        <f t="shared" si="3"/>
        <v>0</v>
      </c>
      <c r="M8" s="35">
        <f t="shared" si="4"/>
        <v>0</v>
      </c>
    </row>
    <row r="9" spans="1:13" x14ac:dyDescent="0.2">
      <c r="A9" s="20" t="s">
        <v>113</v>
      </c>
      <c r="B9" s="20" t="s">
        <v>9</v>
      </c>
      <c r="C9" s="20" t="s">
        <v>107</v>
      </c>
      <c r="D9" s="20" t="s">
        <v>114</v>
      </c>
      <c r="E9" s="33">
        <v>19.55</v>
      </c>
      <c r="F9" s="33">
        <f t="shared" si="0"/>
        <v>19.55</v>
      </c>
      <c r="G9" s="34">
        <f>IF(AND(catpn_1_EZB_1&gt;0,catpn_1_EZV_51&gt;0),(dagenperjaar1*VLOOKUP(B9,dagsoorttabel1,2,FALSE))/(((dagenperjaar1*VLOOKUP(B9,dagsoorttabel1,2,FALSE))-catfd_1_EZV_51)/catpn_1_EZB_1+catfd_1_EZV_51/catpn_1_EZV_51),0)</f>
        <v>0</v>
      </c>
      <c r="H9" s="20" t="s">
        <v>34</v>
      </c>
      <c r="I9" s="35">
        <f>IF(AND(catpn_1_EZB_1&gt;0,catpn_1_EZV_51&gt;0),(cattf_1_EZB_1*((dagenperjaar1*VLOOKUP(B9,dagsoorttabel1,2,FALSE))-catfd_1_EZV_51)/catpn_1_EZB_1+cattf_1_EZV_51*catfd_1_EZV_51/catpn_1_EZV_51)/(((dagenperjaar1*VLOOKUP(B9,dagsoorttabel1,2,FALSE))-catfd_1_EZV_51)/catpn_1_EZB_1+catfd_1_EZV_51/catpn_1_EZV_51),0)</f>
        <v>0</v>
      </c>
      <c r="J9" s="33">
        <f t="shared" si="1"/>
        <v>0</v>
      </c>
      <c r="K9" s="35">
        <f t="shared" si="2"/>
        <v>0</v>
      </c>
      <c r="L9" s="33">
        <f t="shared" si="3"/>
        <v>0</v>
      </c>
      <c r="M9" s="35">
        <f t="shared" si="4"/>
        <v>0</v>
      </c>
    </row>
    <row r="10" spans="1:13" x14ac:dyDescent="0.2">
      <c r="A10" s="20" t="s">
        <v>115</v>
      </c>
      <c r="B10" s="20" t="s">
        <v>9</v>
      </c>
      <c r="C10" s="20" t="s">
        <v>107</v>
      </c>
      <c r="D10" s="20" t="s">
        <v>116</v>
      </c>
      <c r="E10" s="33">
        <v>1.55</v>
      </c>
      <c r="F10" s="33">
        <f t="shared" si="0"/>
        <v>1.55</v>
      </c>
      <c r="G10" s="34">
        <f>IF(AND(catpn_1_IHB_1&gt;0,catpn_1_IHV_51&gt;0),(dagenperjaar1*VLOOKUP(B10,dagsoorttabel1,2,FALSE))/(((dagenperjaar1*VLOOKUP(B10,dagsoorttabel1,2,FALSE))-catfd_1_IHV_51)/catpn_1_IHB_1+catfd_1_IHV_51/catpn_1_IHV_51),0)</f>
        <v>0</v>
      </c>
      <c r="H10" s="20" t="s">
        <v>34</v>
      </c>
      <c r="I10" s="35">
        <f>IF(AND(catpn_1_IHB_1&gt;0,catpn_1_IHV_51&gt;0),(cattf_1_IHB_1*((dagenperjaar1*VLOOKUP(B10,dagsoorttabel1,2,FALSE))-catfd_1_IHV_51)/catpn_1_IHB_1+cattf_1_IHV_51*catfd_1_IHV_51/catpn_1_IHV_51)/(((dagenperjaar1*VLOOKUP(B10,dagsoorttabel1,2,FALSE))-catfd_1_IHV_51)/catpn_1_IHB_1+catfd_1_IHV_51/catpn_1_IHV_51),0)</f>
        <v>0</v>
      </c>
      <c r="J10" s="33">
        <f t="shared" si="1"/>
        <v>0</v>
      </c>
      <c r="K10" s="35">
        <f t="shared" si="2"/>
        <v>0</v>
      </c>
      <c r="L10" s="33">
        <f t="shared" si="3"/>
        <v>0</v>
      </c>
      <c r="M10" s="35">
        <f t="shared" si="4"/>
        <v>0</v>
      </c>
    </row>
    <row r="11" spans="1:13" x14ac:dyDescent="0.2">
      <c r="A11" s="20" t="s">
        <v>117</v>
      </c>
      <c r="B11" s="20" t="s">
        <v>9</v>
      </c>
      <c r="C11" s="20" t="s">
        <v>107</v>
      </c>
      <c r="D11" s="20" t="s">
        <v>118</v>
      </c>
      <c r="E11" s="33">
        <v>10</v>
      </c>
      <c r="F11" s="33">
        <f t="shared" si="0"/>
        <v>10</v>
      </c>
      <c r="G11" s="34">
        <f>IF(AND(catpn_1_KHB_1&gt;0,catpn_1_KHV_51&gt;0),(dagenperjaar1*VLOOKUP(B11,dagsoorttabel1,2,FALSE))/(((dagenperjaar1*VLOOKUP(B11,dagsoorttabel1,2,FALSE))-catfd_1_KHV_51)/catpn_1_KHB_1+catfd_1_KHV_51/catpn_1_KHV_51),0)</f>
        <v>0</v>
      </c>
      <c r="H11" s="20" t="s">
        <v>34</v>
      </c>
      <c r="I11" s="35">
        <f>IF(AND(catpn_1_KHB_1&gt;0,catpn_1_KHV_51&gt;0),(cattf_1_KHB_1*((dagenperjaar1*VLOOKUP(B11,dagsoorttabel1,2,FALSE))-catfd_1_KHV_51)/catpn_1_KHB_1+cattf_1_KHV_51*catfd_1_KHV_51/catpn_1_KHV_51)/(((dagenperjaar1*VLOOKUP(B11,dagsoorttabel1,2,FALSE))-catfd_1_KHV_51)/catpn_1_KHB_1+catfd_1_KHV_51/catpn_1_KHV_51),0)</f>
        <v>0</v>
      </c>
      <c r="J11" s="33">
        <f t="shared" si="1"/>
        <v>0</v>
      </c>
      <c r="K11" s="35">
        <f t="shared" si="2"/>
        <v>0</v>
      </c>
      <c r="L11" s="33">
        <f t="shared" si="3"/>
        <v>0</v>
      </c>
      <c r="M11" s="35">
        <f t="shared" si="4"/>
        <v>0</v>
      </c>
    </row>
    <row r="12" spans="1:13" x14ac:dyDescent="0.2">
      <c r="A12" s="20" t="s">
        <v>119</v>
      </c>
      <c r="B12" s="20" t="s">
        <v>9</v>
      </c>
      <c r="C12" s="20" t="s">
        <v>107</v>
      </c>
      <c r="D12" s="20" t="s">
        <v>120</v>
      </c>
      <c r="E12" s="33">
        <v>809.53000000000009</v>
      </c>
      <c r="F12" s="33">
        <f t="shared" si="0"/>
        <v>809.53000000000009</v>
      </c>
      <c r="G12" s="34">
        <f>IF(AND(catpn_1_LHB_1&gt;0,catpn_1_LHV_51&gt;0),(dagenperjaar1*VLOOKUP(B12,dagsoorttabel1,2,FALSE))/(((dagenperjaar1*VLOOKUP(B12,dagsoorttabel1,2,FALSE))-catfd_1_LHV_51)/catpn_1_LHB_1+catfd_1_LHV_51/catpn_1_LHV_51),0)</f>
        <v>0</v>
      </c>
      <c r="H12" s="20" t="s">
        <v>34</v>
      </c>
      <c r="I12" s="35">
        <f>IF(AND(catpn_1_LHB_1&gt;0,catpn_1_LHV_51&gt;0),(cattf_1_LHB_1*((dagenperjaar1*VLOOKUP(B12,dagsoorttabel1,2,FALSE))-catfd_1_LHV_51)/catpn_1_LHB_1+cattf_1_LHV_51*catfd_1_LHV_51/catpn_1_LHV_51)/(((dagenperjaar1*VLOOKUP(B12,dagsoorttabel1,2,FALSE))-catfd_1_LHV_51)/catpn_1_LHB_1+catfd_1_LHV_51/catpn_1_LHV_51),0)</f>
        <v>0</v>
      </c>
      <c r="J12" s="33">
        <f t="shared" si="1"/>
        <v>0</v>
      </c>
      <c r="K12" s="35">
        <f t="shared" si="2"/>
        <v>0</v>
      </c>
      <c r="L12" s="33">
        <f t="shared" si="3"/>
        <v>0</v>
      </c>
      <c r="M12" s="35">
        <f t="shared" si="4"/>
        <v>0</v>
      </c>
    </row>
    <row r="13" spans="1:13" x14ac:dyDescent="0.2">
      <c r="A13" s="20" t="s">
        <v>121</v>
      </c>
      <c r="B13" s="20" t="s">
        <v>9</v>
      </c>
      <c r="C13" s="20" t="s">
        <v>107</v>
      </c>
      <c r="D13" s="20" t="s">
        <v>122</v>
      </c>
      <c r="E13" s="33">
        <v>4</v>
      </c>
      <c r="F13" s="33">
        <f t="shared" si="0"/>
        <v>4</v>
      </c>
      <c r="G13" s="34">
        <f>IF(AND(catpn_1_QHB_1&gt;0,catpn_1_QHV_51&gt;0),(dagenperjaar1*VLOOKUP(B13,dagsoorttabel1,2,FALSE))/(((dagenperjaar1*VLOOKUP(B13,dagsoorttabel1,2,FALSE))-catfd_1_QHV_51)/catpn_1_QHB_1+catfd_1_QHV_51/catpn_1_QHV_51),0)</f>
        <v>0</v>
      </c>
      <c r="H13" s="20" t="s">
        <v>34</v>
      </c>
      <c r="I13" s="35">
        <f>IF(AND(catpn_1_QHB_1&gt;0,catpn_1_QHV_51&gt;0),(cattf_1_QHB_1*((dagenperjaar1*VLOOKUP(B13,dagsoorttabel1,2,FALSE))-catfd_1_QHV_51)/catpn_1_QHB_1+cattf_1_QHV_51*catfd_1_QHV_51/catpn_1_QHV_51)/(((dagenperjaar1*VLOOKUP(B13,dagsoorttabel1,2,FALSE))-catfd_1_QHV_51)/catpn_1_QHB_1+catfd_1_QHV_51/catpn_1_QHV_51),0)</f>
        <v>0</v>
      </c>
      <c r="J13" s="33">
        <f t="shared" si="1"/>
        <v>0</v>
      </c>
      <c r="K13" s="35">
        <f t="shared" si="2"/>
        <v>0</v>
      </c>
      <c r="L13" s="33">
        <f t="shared" si="3"/>
        <v>0</v>
      </c>
      <c r="M13" s="35">
        <f t="shared" si="4"/>
        <v>0</v>
      </c>
    </row>
    <row r="14" spans="1:13" x14ac:dyDescent="0.2">
      <c r="A14" s="20" t="s">
        <v>123</v>
      </c>
      <c r="B14" s="20" t="s">
        <v>9</v>
      </c>
      <c r="C14" s="20" t="s">
        <v>107</v>
      </c>
      <c r="D14" s="20" t="s">
        <v>124</v>
      </c>
      <c r="E14" s="33">
        <v>125.4</v>
      </c>
      <c r="F14" s="33">
        <f t="shared" si="0"/>
        <v>125.4</v>
      </c>
      <c r="G14" s="34">
        <f>IF(AND(catpn_1_RHB_1&gt;0,catpn_1_RHV_51&gt;0),(dagenperjaar1*VLOOKUP(B14,dagsoorttabel1,2,FALSE))/(((dagenperjaar1*VLOOKUP(B14,dagsoorttabel1,2,FALSE))-catfd_1_RHV_51)/catpn_1_RHB_1+catfd_1_RHV_51/catpn_1_RHV_51),0)</f>
        <v>0</v>
      </c>
      <c r="H14" s="20" t="s">
        <v>34</v>
      </c>
      <c r="I14" s="35">
        <f>IF(AND(catpn_1_RHB_1&gt;0,catpn_1_RHV_51&gt;0),(cattf_1_RHB_1*((dagenperjaar1*VLOOKUP(B14,dagsoorttabel1,2,FALSE))-catfd_1_RHV_51)/catpn_1_RHB_1+cattf_1_RHV_51*catfd_1_RHV_51/catpn_1_RHV_51)/(((dagenperjaar1*VLOOKUP(B14,dagsoorttabel1,2,FALSE))-catfd_1_RHV_51)/catpn_1_RHB_1+catfd_1_RHV_51/catpn_1_RHV_51),0)</f>
        <v>0</v>
      </c>
      <c r="J14" s="33">
        <f t="shared" si="1"/>
        <v>0</v>
      </c>
      <c r="K14" s="35">
        <f t="shared" si="2"/>
        <v>0</v>
      </c>
      <c r="L14" s="33">
        <f t="shared" si="3"/>
        <v>0</v>
      </c>
      <c r="M14" s="35">
        <f t="shared" si="4"/>
        <v>0</v>
      </c>
    </row>
    <row r="15" spans="1:13" x14ac:dyDescent="0.2">
      <c r="A15" s="20" t="s">
        <v>125</v>
      </c>
      <c r="B15" s="20" t="s">
        <v>9</v>
      </c>
      <c r="C15" s="20" t="s">
        <v>107</v>
      </c>
      <c r="D15" s="20" t="s">
        <v>126</v>
      </c>
      <c r="E15" s="33">
        <v>31.34</v>
      </c>
      <c r="F15" s="33">
        <f t="shared" si="0"/>
        <v>31.34</v>
      </c>
      <c r="G15" s="34">
        <f>IF(AND(catpn_1_SHB_1&gt;0,catpn_1_SHV_51&gt;0),(dagenperjaar1*VLOOKUP(B15,dagsoorttabel1,2,FALSE))/(((dagenperjaar1*VLOOKUP(B15,dagsoorttabel1,2,FALSE))-catfd_1_SHV_51)/catpn_1_SHB_1+catfd_1_SHV_51/catpn_1_SHV_51),0)</f>
        <v>0</v>
      </c>
      <c r="H15" s="20" t="s">
        <v>34</v>
      </c>
      <c r="I15" s="35">
        <f>IF(AND(catpn_1_SHB_1&gt;0,catpn_1_SHV_51&gt;0),(cattf_1_SHB_1*((dagenperjaar1*VLOOKUP(B15,dagsoorttabel1,2,FALSE))-catfd_1_SHV_51)/catpn_1_SHB_1+cattf_1_SHV_51*catfd_1_SHV_51/catpn_1_SHV_51)/(((dagenperjaar1*VLOOKUP(B15,dagsoorttabel1,2,FALSE))-catfd_1_SHV_51)/catpn_1_SHB_1+catfd_1_SHV_51/catpn_1_SHV_51),0)</f>
        <v>0</v>
      </c>
      <c r="J15" s="33">
        <f t="shared" si="1"/>
        <v>0</v>
      </c>
      <c r="K15" s="35">
        <f t="shared" si="2"/>
        <v>0</v>
      </c>
      <c r="L15" s="33">
        <f t="shared" si="3"/>
        <v>0</v>
      </c>
      <c r="M15" s="35">
        <f t="shared" si="4"/>
        <v>0</v>
      </c>
    </row>
    <row r="16" spans="1:13" x14ac:dyDescent="0.2">
      <c r="A16" s="20" t="s">
        <v>127</v>
      </c>
      <c r="B16" s="20" t="s">
        <v>9</v>
      </c>
      <c r="C16" s="20" t="s">
        <v>107</v>
      </c>
      <c r="D16" s="20" t="s">
        <v>128</v>
      </c>
      <c r="E16" s="33">
        <v>21.94</v>
      </c>
      <c r="F16" s="33">
        <f t="shared" si="0"/>
        <v>21.94</v>
      </c>
      <c r="G16" s="34">
        <f>IF(AND(catpn_1_THB_1&gt;0,catpn_1_THV_51&gt;0),(dagenperjaar1*VLOOKUP(B16,dagsoorttabel1,2,FALSE))/(((dagenperjaar1*VLOOKUP(B16,dagsoorttabel1,2,FALSE))-catfd_1_THV_51)/catpn_1_THB_1+catfd_1_THV_51/catpn_1_THV_51),0)</f>
        <v>0</v>
      </c>
      <c r="H16" s="20" t="s">
        <v>34</v>
      </c>
      <c r="I16" s="35">
        <f>IF(AND(catpn_1_THB_1&gt;0,catpn_1_THV_51&gt;0),(cattf_1_THB_1*((dagenperjaar1*VLOOKUP(B16,dagsoorttabel1,2,FALSE))-catfd_1_THV_51)/catpn_1_THB_1+cattf_1_THV_51*catfd_1_THV_51/catpn_1_THV_51)/(((dagenperjaar1*VLOOKUP(B16,dagsoorttabel1,2,FALSE))-catfd_1_THV_51)/catpn_1_THB_1+catfd_1_THV_51/catpn_1_THV_51),0)</f>
        <v>0</v>
      </c>
      <c r="J16" s="33">
        <f t="shared" si="1"/>
        <v>0</v>
      </c>
      <c r="K16" s="35">
        <f t="shared" si="2"/>
        <v>0</v>
      </c>
      <c r="L16" s="33">
        <f t="shared" si="3"/>
        <v>0</v>
      </c>
      <c r="M16" s="35">
        <f t="shared" si="4"/>
        <v>0</v>
      </c>
    </row>
    <row r="17" spans="1:13" x14ac:dyDescent="0.2">
      <c r="A17" s="20" t="s">
        <v>129</v>
      </c>
      <c r="B17" s="20" t="s">
        <v>9</v>
      </c>
      <c r="C17" s="20" t="s">
        <v>107</v>
      </c>
      <c r="D17" s="20" t="s">
        <v>130</v>
      </c>
      <c r="E17" s="33">
        <v>25.18</v>
      </c>
      <c r="F17" s="33">
        <f t="shared" si="0"/>
        <v>25.18</v>
      </c>
      <c r="G17" s="34">
        <f>IF(AND(catpn_1_TZB_1&gt;0,catpn_1_TZV_51&gt;0),(dagenperjaar1*VLOOKUP(B17,dagsoorttabel1,2,FALSE))/(((dagenperjaar1*VLOOKUP(B17,dagsoorttabel1,2,FALSE))-catfd_1_TZV_51)/catpn_1_TZB_1+catfd_1_TZV_51/catpn_1_TZV_51),0)</f>
        <v>0</v>
      </c>
      <c r="H17" s="20" t="s">
        <v>34</v>
      </c>
      <c r="I17" s="35">
        <f>IF(AND(catpn_1_TZB_1&gt;0,catpn_1_TZV_51&gt;0),(cattf_1_TZB_1*((dagenperjaar1*VLOOKUP(B17,dagsoorttabel1,2,FALSE))-catfd_1_TZV_51)/catpn_1_TZB_1+cattf_1_TZV_51*catfd_1_TZV_51/catpn_1_TZV_51)/(((dagenperjaar1*VLOOKUP(B17,dagsoorttabel1,2,FALSE))-catfd_1_TZV_51)/catpn_1_TZB_1+catfd_1_TZV_51/catpn_1_TZV_51),0)</f>
        <v>0</v>
      </c>
      <c r="J17" s="33">
        <f t="shared" si="1"/>
        <v>0</v>
      </c>
      <c r="K17" s="35">
        <f t="shared" si="2"/>
        <v>0</v>
      </c>
      <c r="L17" s="33">
        <f t="shared" si="3"/>
        <v>0</v>
      </c>
      <c r="M17" s="35">
        <f t="shared" si="4"/>
        <v>0</v>
      </c>
    </row>
    <row r="18" spans="1:13" x14ac:dyDescent="0.2">
      <c r="A18" s="20" t="s">
        <v>131</v>
      </c>
      <c r="B18" s="20" t="s">
        <v>9</v>
      </c>
      <c r="C18" s="20" t="s">
        <v>107</v>
      </c>
      <c r="D18" s="20" t="s">
        <v>132</v>
      </c>
      <c r="E18" s="33">
        <v>196.22000000000003</v>
      </c>
      <c r="F18" s="33">
        <f t="shared" si="0"/>
        <v>196.22000000000003</v>
      </c>
      <c r="G18" s="34">
        <f>IF(AND(catpn_1_VHB_1&gt;0,catpn_1_VHV_51&gt;0),(dagenperjaar1*VLOOKUP(B18,dagsoorttabel1,2,FALSE))/(((dagenperjaar1*VLOOKUP(B18,dagsoorttabel1,2,FALSE))-catfd_1_VHV_51)/catpn_1_VHB_1+catfd_1_VHV_51/catpn_1_VHV_51),0)</f>
        <v>0</v>
      </c>
      <c r="H18" s="20" t="s">
        <v>34</v>
      </c>
      <c r="I18" s="35">
        <f>IF(AND(catpn_1_VHB_1&gt;0,catpn_1_VHV_51&gt;0),(cattf_1_VHB_1*((dagenperjaar1*VLOOKUP(B18,dagsoorttabel1,2,FALSE))-catfd_1_VHV_51)/catpn_1_VHB_1+cattf_1_VHV_51*catfd_1_VHV_51/catpn_1_VHV_51)/(((dagenperjaar1*VLOOKUP(B18,dagsoorttabel1,2,FALSE))-catfd_1_VHV_51)/catpn_1_VHB_1+catfd_1_VHV_51/catpn_1_VHV_51),0)</f>
        <v>0</v>
      </c>
      <c r="J18" s="33">
        <f t="shared" si="1"/>
        <v>0</v>
      </c>
      <c r="K18" s="35">
        <f t="shared" si="2"/>
        <v>0</v>
      </c>
      <c r="L18" s="33">
        <f t="shared" si="3"/>
        <v>0</v>
      </c>
      <c r="M18" s="35">
        <f t="shared" si="4"/>
        <v>0</v>
      </c>
    </row>
    <row r="19" spans="1:13" x14ac:dyDescent="0.2">
      <c r="A19" s="20" t="s">
        <v>133</v>
      </c>
      <c r="B19" s="20" t="s">
        <v>9</v>
      </c>
      <c r="C19" s="20" t="s">
        <v>107</v>
      </c>
      <c r="D19" s="20" t="s">
        <v>134</v>
      </c>
      <c r="E19" s="33">
        <v>47.09</v>
      </c>
      <c r="F19" s="33">
        <f t="shared" si="0"/>
        <v>47.09</v>
      </c>
      <c r="G19" s="34">
        <f>IF(AND(catpn_1_VZB_1&gt;0,catpn_1_VZV_51&gt;0),(dagenperjaar1*VLOOKUP(B19,dagsoorttabel1,2,FALSE))/(((dagenperjaar1*VLOOKUP(B19,dagsoorttabel1,2,FALSE))-catfd_1_VZV_51)/catpn_1_VZB_1+catfd_1_VZV_51/catpn_1_VZV_51),0)</f>
        <v>0</v>
      </c>
      <c r="H19" s="20" t="s">
        <v>34</v>
      </c>
      <c r="I19" s="35">
        <f>IF(AND(catpn_1_VZB_1&gt;0,catpn_1_VZV_51&gt;0),(cattf_1_VZB_1*((dagenperjaar1*VLOOKUP(B19,dagsoorttabel1,2,FALSE))-catfd_1_VZV_51)/catpn_1_VZB_1+cattf_1_VZV_51*catfd_1_VZV_51/catpn_1_VZV_51)/(((dagenperjaar1*VLOOKUP(B19,dagsoorttabel1,2,FALSE))-catfd_1_VZV_51)/catpn_1_VZB_1+catfd_1_VZV_51/catpn_1_VZV_51),0)</f>
        <v>0</v>
      </c>
      <c r="J19" s="33">
        <f t="shared" si="1"/>
        <v>0</v>
      </c>
      <c r="K19" s="35">
        <f t="shared" si="2"/>
        <v>0</v>
      </c>
      <c r="L19" s="33">
        <f t="shared" si="3"/>
        <v>0</v>
      </c>
      <c r="M19" s="35">
        <f t="shared" si="4"/>
        <v>0</v>
      </c>
    </row>
    <row r="20" spans="1:13" x14ac:dyDescent="0.2">
      <c r="A20" s="20" t="s">
        <v>135</v>
      </c>
      <c r="B20" s="20" t="s">
        <v>9</v>
      </c>
      <c r="C20" s="20" t="s">
        <v>107</v>
      </c>
      <c r="D20" s="20" t="s">
        <v>136</v>
      </c>
      <c r="E20" s="33">
        <v>29.77</v>
      </c>
      <c r="F20" s="33">
        <f t="shared" si="0"/>
        <v>29.77</v>
      </c>
      <c r="G20" s="34">
        <f>IF(AND(catpn_1_WZB_1&gt;0,catpn_1_WZV_51&gt;0),(dagenperjaar1*VLOOKUP(B20,dagsoorttabel1,2,FALSE))/(((dagenperjaar1*VLOOKUP(B20,dagsoorttabel1,2,FALSE))-catfd_1_WZV_51)/catpn_1_WZB_1+catfd_1_WZV_51/catpn_1_WZV_51),0)</f>
        <v>0</v>
      </c>
      <c r="H20" s="20" t="s">
        <v>34</v>
      </c>
      <c r="I20" s="35">
        <f>IF(AND(catpn_1_WZB_1&gt;0,catpn_1_WZV_51&gt;0),(cattf_1_WZB_1*((dagenperjaar1*VLOOKUP(B20,dagsoorttabel1,2,FALSE))-catfd_1_WZV_51)/catpn_1_WZB_1+cattf_1_WZV_51*catfd_1_WZV_51/catpn_1_WZV_51)/(((dagenperjaar1*VLOOKUP(B20,dagsoorttabel1,2,FALSE))-catfd_1_WZV_51)/catpn_1_WZB_1+catfd_1_WZV_51/catpn_1_WZV_51),0)</f>
        <v>0</v>
      </c>
      <c r="J20" s="33">
        <f t="shared" si="1"/>
        <v>0</v>
      </c>
      <c r="K20" s="35">
        <f t="shared" si="2"/>
        <v>0</v>
      </c>
      <c r="L20" s="33">
        <f t="shared" si="3"/>
        <v>0</v>
      </c>
      <c r="M20" s="35">
        <f t="shared" si="4"/>
        <v>0</v>
      </c>
    </row>
    <row r="21" spans="1:13" x14ac:dyDescent="0.2">
      <c r="A21" s="20" t="s">
        <v>137</v>
      </c>
      <c r="B21" s="20" t="s">
        <v>21</v>
      </c>
      <c r="C21" s="20" t="s">
        <v>107</v>
      </c>
      <c r="D21" s="20" t="s">
        <v>138</v>
      </c>
      <c r="E21" s="33">
        <v>245.76999999999998</v>
      </c>
      <c r="F21" s="33">
        <f t="shared" si="0"/>
        <v>0.94526923076923075</v>
      </c>
      <c r="G21" s="34">
        <f>catpn_1_XBB_1</f>
        <v>0</v>
      </c>
      <c r="H21" s="20" t="s">
        <v>34</v>
      </c>
      <c r="I21" s="35">
        <f>cattf_1_XBB_1</f>
        <v>0</v>
      </c>
      <c r="J21" s="33">
        <f t="shared" si="1"/>
        <v>0</v>
      </c>
      <c r="K21" s="35">
        <f t="shared" si="2"/>
        <v>0</v>
      </c>
      <c r="L21" s="33">
        <f t="shared" si="3"/>
        <v>0</v>
      </c>
      <c r="M21" s="35">
        <f t="shared" si="4"/>
        <v>0</v>
      </c>
    </row>
    <row r="22" spans="1:13" x14ac:dyDescent="0.2">
      <c r="A22" s="20" t="s">
        <v>139</v>
      </c>
      <c r="B22" s="20" t="s">
        <v>14</v>
      </c>
      <c r="C22" s="20" t="s">
        <v>140</v>
      </c>
      <c r="D22" s="20" t="s">
        <v>141</v>
      </c>
      <c r="E22" s="33">
        <v>1</v>
      </c>
      <c r="F22" s="33">
        <f t="shared" si="0"/>
        <v>0.2</v>
      </c>
      <c r="G22" s="36"/>
      <c r="H22" s="20" t="s">
        <v>142</v>
      </c>
      <c r="I22" s="24"/>
      <c r="J22" s="33">
        <f t="shared" ref="J22:J29" si="5">F22*ROUND(G22,4)/60</f>
        <v>0</v>
      </c>
      <c r="K22" s="35">
        <f t="shared" si="2"/>
        <v>0</v>
      </c>
      <c r="L22" s="33">
        <f t="shared" si="3"/>
        <v>0</v>
      </c>
      <c r="M22" s="35">
        <f t="shared" si="4"/>
        <v>0</v>
      </c>
    </row>
    <row r="23" spans="1:13" x14ac:dyDescent="0.2">
      <c r="A23" s="20" t="s">
        <v>143</v>
      </c>
      <c r="B23" s="20" t="s">
        <v>9</v>
      </c>
      <c r="C23" s="20" t="s">
        <v>140</v>
      </c>
      <c r="D23" s="20" t="s">
        <v>144</v>
      </c>
      <c r="E23" s="33">
        <v>1</v>
      </c>
      <c r="F23" s="33">
        <f t="shared" si="0"/>
        <v>1</v>
      </c>
      <c r="G23" s="36"/>
      <c r="H23" s="20" t="s">
        <v>142</v>
      </c>
      <c r="I23" s="24"/>
      <c r="J23" s="33">
        <f t="shared" si="5"/>
        <v>0</v>
      </c>
      <c r="K23" s="35">
        <f t="shared" si="2"/>
        <v>0</v>
      </c>
      <c r="L23" s="33">
        <f t="shared" si="3"/>
        <v>0</v>
      </c>
      <c r="M23" s="35">
        <f t="shared" si="4"/>
        <v>0</v>
      </c>
    </row>
    <row r="24" spans="1:13" x14ac:dyDescent="0.2">
      <c r="A24" s="20" t="s">
        <v>145</v>
      </c>
      <c r="B24" s="20" t="s">
        <v>9</v>
      </c>
      <c r="C24" s="20" t="s">
        <v>140</v>
      </c>
      <c r="D24" s="20" t="s">
        <v>146</v>
      </c>
      <c r="E24" s="33">
        <v>1</v>
      </c>
      <c r="F24" s="33">
        <f t="shared" si="0"/>
        <v>1</v>
      </c>
      <c r="G24" s="36"/>
      <c r="H24" s="20" t="s">
        <v>142</v>
      </c>
      <c r="I24" s="24"/>
      <c r="J24" s="33">
        <f t="shared" si="5"/>
        <v>0</v>
      </c>
      <c r="K24" s="35">
        <f t="shared" si="2"/>
        <v>0</v>
      </c>
      <c r="L24" s="33">
        <f t="shared" si="3"/>
        <v>0</v>
      </c>
      <c r="M24" s="35">
        <f t="shared" si="4"/>
        <v>0</v>
      </c>
    </row>
    <row r="25" spans="1:13" x14ac:dyDescent="0.2">
      <c r="A25" s="20" t="s">
        <v>147</v>
      </c>
      <c r="B25" s="20" t="s">
        <v>18</v>
      </c>
      <c r="C25" s="20" t="s">
        <v>140</v>
      </c>
      <c r="D25" s="20" t="s">
        <v>148</v>
      </c>
      <c r="E25" s="33">
        <v>1</v>
      </c>
      <c r="F25" s="33">
        <f t="shared" si="0"/>
        <v>1.5384615384615385E-2</v>
      </c>
      <c r="G25" s="36"/>
      <c r="H25" s="20" t="s">
        <v>142</v>
      </c>
      <c r="I25" s="24"/>
      <c r="J25" s="33">
        <f t="shared" si="5"/>
        <v>0</v>
      </c>
      <c r="K25" s="35">
        <f t="shared" si="2"/>
        <v>0</v>
      </c>
      <c r="L25" s="33">
        <f t="shared" si="3"/>
        <v>0</v>
      </c>
      <c r="M25" s="35">
        <f t="shared" si="4"/>
        <v>0</v>
      </c>
    </row>
    <row r="26" spans="1:13" x14ac:dyDescent="0.2">
      <c r="A26" s="20" t="s">
        <v>149</v>
      </c>
      <c r="B26" s="20" t="s">
        <v>14</v>
      </c>
      <c r="C26" s="20" t="s">
        <v>140</v>
      </c>
      <c r="D26" s="20" t="s">
        <v>150</v>
      </c>
      <c r="E26" s="33">
        <v>2</v>
      </c>
      <c r="F26" s="33">
        <f t="shared" si="0"/>
        <v>0.4</v>
      </c>
      <c r="G26" s="36"/>
      <c r="H26" s="20" t="s">
        <v>142</v>
      </c>
      <c r="I26" s="24"/>
      <c r="J26" s="33">
        <f t="shared" si="5"/>
        <v>0</v>
      </c>
      <c r="K26" s="35">
        <f t="shared" si="2"/>
        <v>0</v>
      </c>
      <c r="L26" s="33">
        <f t="shared" si="3"/>
        <v>0</v>
      </c>
      <c r="M26" s="35">
        <f t="shared" si="4"/>
        <v>0</v>
      </c>
    </row>
    <row r="27" spans="1:13" x14ac:dyDescent="0.2">
      <c r="A27" s="20" t="s">
        <v>151</v>
      </c>
      <c r="B27" s="20" t="s">
        <v>14</v>
      </c>
      <c r="C27" s="20" t="s">
        <v>140</v>
      </c>
      <c r="D27" s="20" t="s">
        <v>152</v>
      </c>
      <c r="E27" s="33">
        <v>1</v>
      </c>
      <c r="F27" s="33">
        <f t="shared" si="0"/>
        <v>0.2</v>
      </c>
      <c r="G27" s="36"/>
      <c r="H27" s="20" t="s">
        <v>142</v>
      </c>
      <c r="I27" s="24"/>
      <c r="J27" s="33">
        <f t="shared" si="5"/>
        <v>0</v>
      </c>
      <c r="K27" s="35">
        <f t="shared" si="2"/>
        <v>0</v>
      </c>
      <c r="L27" s="33">
        <f t="shared" si="3"/>
        <v>0</v>
      </c>
      <c r="M27" s="35">
        <f t="shared" si="4"/>
        <v>0</v>
      </c>
    </row>
    <row r="28" spans="1:13" x14ac:dyDescent="0.2">
      <c r="A28" s="20" t="s">
        <v>153</v>
      </c>
      <c r="B28" s="20" t="s">
        <v>14</v>
      </c>
      <c r="C28" s="20" t="s">
        <v>140</v>
      </c>
      <c r="D28" s="20" t="s">
        <v>154</v>
      </c>
      <c r="E28" s="33">
        <v>2</v>
      </c>
      <c r="F28" s="33">
        <f t="shared" si="0"/>
        <v>0.4</v>
      </c>
      <c r="G28" s="36"/>
      <c r="H28" s="20" t="s">
        <v>142</v>
      </c>
      <c r="I28" s="24"/>
      <c r="J28" s="33">
        <f t="shared" si="5"/>
        <v>0</v>
      </c>
      <c r="K28" s="35">
        <f t="shared" si="2"/>
        <v>0</v>
      </c>
      <c r="L28" s="33">
        <f t="shared" si="3"/>
        <v>0</v>
      </c>
      <c r="M28" s="35">
        <f t="shared" si="4"/>
        <v>0</v>
      </c>
    </row>
    <row r="29" spans="1:13" x14ac:dyDescent="0.2">
      <c r="A29" s="25" t="s">
        <v>155</v>
      </c>
      <c r="B29" s="25" t="s">
        <v>14</v>
      </c>
      <c r="C29" s="25" t="s">
        <v>140</v>
      </c>
      <c r="D29" s="25" t="s">
        <v>156</v>
      </c>
      <c r="E29" s="37">
        <v>1</v>
      </c>
      <c r="F29" s="37">
        <f t="shared" si="0"/>
        <v>0.2</v>
      </c>
      <c r="G29" s="38"/>
      <c r="H29" s="25" t="s">
        <v>142</v>
      </c>
      <c r="I29" s="29"/>
      <c r="J29" s="37">
        <f t="shared" si="5"/>
        <v>0</v>
      </c>
      <c r="K29" s="39">
        <f t="shared" si="2"/>
        <v>0</v>
      </c>
      <c r="L29" s="37">
        <f t="shared" si="3"/>
        <v>0</v>
      </c>
      <c r="M29" s="39">
        <f t="shared" si="4"/>
        <v>0</v>
      </c>
    </row>
    <row r="30" spans="1:13" x14ac:dyDescent="0.2">
      <c r="A30" s="41" t="s">
        <v>157</v>
      </c>
      <c r="B30" s="42"/>
      <c r="C30" s="42"/>
      <c r="D30" s="42"/>
      <c r="E30" s="42"/>
      <c r="F30" s="42"/>
      <c r="G30" s="42"/>
      <c r="H30" s="42"/>
      <c r="I30" s="42"/>
      <c r="J30" s="43">
        <f>SUM(J6:J29)</f>
        <v>0</v>
      </c>
      <c r="K30" s="44">
        <f>SUM(K6:K29)</f>
        <v>0</v>
      </c>
      <c r="L30" s="43">
        <f>SUM(L6:L29)</f>
        <v>0</v>
      </c>
      <c r="M30" s="45">
        <f>SUM(M6:M29)</f>
        <v>0</v>
      </c>
    </row>
    <row r="31" spans="1:13" x14ac:dyDescent="0.2">
      <c r="A31" s="46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7"/>
    </row>
    <row r="32" spans="1:13" x14ac:dyDescent="0.2">
      <c r="A32" s="41" t="s">
        <v>158</v>
      </c>
      <c r="B32" s="42"/>
      <c r="C32" s="42"/>
      <c r="D32" s="42"/>
      <c r="E32" s="42"/>
      <c r="F32" s="42"/>
      <c r="G32" s="42"/>
      <c r="H32" s="42"/>
      <c r="I32" s="44">
        <f>IF(urenjaar1&gt;0,SUMIF(L6:L29,"&gt;0",M6:M29)/urenjaar1,0)</f>
        <v>0</v>
      </c>
      <c r="J32" s="42"/>
      <c r="K32" s="42"/>
      <c r="L32" s="42"/>
      <c r="M32" s="47"/>
    </row>
    <row r="33" spans="1:13" x14ac:dyDescent="0.2">
      <c r="A33" s="46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7"/>
    </row>
    <row r="35" spans="1:13" x14ac:dyDescent="0.2">
      <c r="A35" s="41" t="s">
        <v>159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3">
        <f>urenjaar1</f>
        <v>0</v>
      </c>
      <c r="M35" s="44">
        <f>prijsjaar1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2A5C-5255-4850-97C5-CE0C6F249067}">
  <dimension ref="A1:S104"/>
  <sheetViews>
    <sheetView workbookViewId="0"/>
  </sheetViews>
  <sheetFormatPr defaultRowHeight="12.75" x14ac:dyDescent="0.2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10" width="8.625" customWidth="1"/>
    <col min="11" max="12" width="10.625" customWidth="1"/>
    <col min="13" max="13" width="11.625" customWidth="1"/>
    <col min="14" max="14" width="9.625" customWidth="1"/>
    <col min="15" max="17" width="11.625" customWidth="1"/>
    <col min="18" max="18" width="12.625" customWidth="1"/>
    <col min="19" max="19" width="14.625" customWidth="1"/>
  </cols>
  <sheetData>
    <row r="1" spans="1:19" x14ac:dyDescent="0.2">
      <c r="A1" s="1" t="str">
        <f>CONCATENATE("Bijlage I.3: ",tabeltype," ruimten werkdag")</f>
        <v>Bijlage I.3: Invultabel ruimten werkdag</v>
      </c>
    </row>
    <row r="3" spans="1:19" ht="38.25" x14ac:dyDescent="0.2">
      <c r="A3" s="48" t="s">
        <v>160</v>
      </c>
      <c r="B3" s="8" t="s">
        <v>161</v>
      </c>
      <c r="C3" s="8" t="s">
        <v>162</v>
      </c>
      <c r="D3" s="8" t="s">
        <v>163</v>
      </c>
      <c r="E3" s="8" t="s">
        <v>164</v>
      </c>
      <c r="F3" s="8" t="s">
        <v>165</v>
      </c>
      <c r="G3" s="8" t="s">
        <v>98</v>
      </c>
      <c r="H3" s="8" t="s">
        <v>7</v>
      </c>
      <c r="I3" s="8" t="s">
        <v>166</v>
      </c>
      <c r="J3" s="8" t="s">
        <v>167</v>
      </c>
      <c r="K3" s="8" t="s">
        <v>100</v>
      </c>
      <c r="L3" s="8" t="s">
        <v>101</v>
      </c>
      <c r="M3" s="8" t="s">
        <v>26</v>
      </c>
      <c r="N3" s="8" t="s">
        <v>28</v>
      </c>
      <c r="O3" s="8" t="s">
        <v>29</v>
      </c>
      <c r="P3" s="8" t="s">
        <v>102</v>
      </c>
      <c r="Q3" s="8" t="s">
        <v>103</v>
      </c>
      <c r="R3" s="8" t="s">
        <v>104</v>
      </c>
      <c r="S3" s="49" t="s">
        <v>105</v>
      </c>
    </row>
    <row r="4" spans="1:19" x14ac:dyDescent="0.2">
      <c r="A4" s="50" t="s">
        <v>168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40"/>
    </row>
    <row r="5" spans="1:19" x14ac:dyDescent="0.2">
      <c r="A5" s="51" t="s">
        <v>169</v>
      </c>
      <c r="B5" s="52" t="s">
        <v>170</v>
      </c>
      <c r="C5" s="52" t="s">
        <v>171</v>
      </c>
      <c r="D5" s="52" t="s">
        <v>172</v>
      </c>
      <c r="E5" s="53" t="s">
        <v>173</v>
      </c>
      <c r="F5" s="52" t="s">
        <v>174</v>
      </c>
      <c r="G5" s="52" t="s">
        <v>113</v>
      </c>
      <c r="H5" s="52" t="s">
        <v>9</v>
      </c>
      <c r="I5" s="52" t="s">
        <v>107</v>
      </c>
      <c r="J5" s="52"/>
      <c r="K5" s="54">
        <v>5.9</v>
      </c>
      <c r="L5" s="54">
        <f t="shared" ref="L5:L36" si="0">K5*VLOOKUP(H5,dagsoorttabel1,2,FALSE)</f>
        <v>5.9</v>
      </c>
      <c r="M5" s="55">
        <f>prodnorm9</f>
        <v>0</v>
      </c>
      <c r="N5" s="52" t="s">
        <v>34</v>
      </c>
      <c r="O5" s="56">
        <f>uurtarief9</f>
        <v>0</v>
      </c>
      <c r="P5" s="54" t="e">
        <f t="shared" ref="P5:P36" si="1">IF(ISBLANK(M5),0,L5/ROUND(M5,4))</f>
        <v>#DIV/0!</v>
      </c>
      <c r="Q5" s="56" t="e">
        <f t="shared" ref="Q5:Q36" si="2">ROUND(O5,2)*P5</f>
        <v>#DIV/0!</v>
      </c>
      <c r="R5" s="54" t="e">
        <f t="shared" ref="R5:R36" si="3">P5*dagenperjaar1</f>
        <v>#DIV/0!</v>
      </c>
      <c r="S5" s="57" t="e">
        <f t="shared" ref="S5:S36" si="4">R5*ROUND(O5,2)</f>
        <v>#DIV/0!</v>
      </c>
    </row>
    <row r="6" spans="1:19" x14ac:dyDescent="0.2">
      <c r="A6" s="58" t="s">
        <v>169</v>
      </c>
      <c r="B6" s="59" t="s">
        <v>170</v>
      </c>
      <c r="C6" s="59" t="s">
        <v>171</v>
      </c>
      <c r="D6" s="59" t="s">
        <v>175</v>
      </c>
      <c r="E6" s="60" t="s">
        <v>176</v>
      </c>
      <c r="F6" s="59" t="s">
        <v>177</v>
      </c>
      <c r="G6" s="59" t="s">
        <v>131</v>
      </c>
      <c r="H6" s="59" t="s">
        <v>9</v>
      </c>
      <c r="I6" s="59" t="s">
        <v>107</v>
      </c>
      <c r="J6" s="59"/>
      <c r="K6" s="61">
        <v>21.4</v>
      </c>
      <c r="L6" s="61">
        <f t="shared" si="0"/>
        <v>21.4</v>
      </c>
      <c r="M6" s="62">
        <f>prodnorm18</f>
        <v>0</v>
      </c>
      <c r="N6" s="59" t="s">
        <v>34</v>
      </c>
      <c r="O6" s="63">
        <f>uurtarief18</f>
        <v>0</v>
      </c>
      <c r="P6" s="61" t="e">
        <f t="shared" si="1"/>
        <v>#DIV/0!</v>
      </c>
      <c r="Q6" s="63" t="e">
        <f t="shared" si="2"/>
        <v>#DIV/0!</v>
      </c>
      <c r="R6" s="61" t="e">
        <f t="shared" si="3"/>
        <v>#DIV/0!</v>
      </c>
      <c r="S6" s="64" t="e">
        <f t="shared" si="4"/>
        <v>#DIV/0!</v>
      </c>
    </row>
    <row r="7" spans="1:19" x14ac:dyDescent="0.2">
      <c r="A7" s="58" t="s">
        <v>169</v>
      </c>
      <c r="B7" s="59" t="s">
        <v>170</v>
      </c>
      <c r="C7" s="59" t="s">
        <v>171</v>
      </c>
      <c r="D7" s="59" t="s">
        <v>178</v>
      </c>
      <c r="E7" s="60" t="s">
        <v>179</v>
      </c>
      <c r="F7" s="59" t="s">
        <v>177</v>
      </c>
      <c r="G7" s="59" t="s">
        <v>131</v>
      </c>
      <c r="H7" s="59" t="s">
        <v>9</v>
      </c>
      <c r="I7" s="59" t="s">
        <v>107</v>
      </c>
      <c r="J7" s="59"/>
      <c r="K7" s="61">
        <v>49.790000000000006</v>
      </c>
      <c r="L7" s="61">
        <f t="shared" si="0"/>
        <v>49.790000000000006</v>
      </c>
      <c r="M7" s="62">
        <f>prodnorm18</f>
        <v>0</v>
      </c>
      <c r="N7" s="59" t="s">
        <v>34</v>
      </c>
      <c r="O7" s="63">
        <f>uurtarief18</f>
        <v>0</v>
      </c>
      <c r="P7" s="61" t="e">
        <f t="shared" si="1"/>
        <v>#DIV/0!</v>
      </c>
      <c r="Q7" s="63" t="e">
        <f t="shared" si="2"/>
        <v>#DIV/0!</v>
      </c>
      <c r="R7" s="61" t="e">
        <f t="shared" si="3"/>
        <v>#DIV/0!</v>
      </c>
      <c r="S7" s="64" t="e">
        <f t="shared" si="4"/>
        <v>#DIV/0!</v>
      </c>
    </row>
    <row r="8" spans="1:19" x14ac:dyDescent="0.2">
      <c r="A8" s="58" t="s">
        <v>169</v>
      </c>
      <c r="B8" s="59" t="s">
        <v>170</v>
      </c>
      <c r="C8" s="59" t="s">
        <v>171</v>
      </c>
      <c r="D8" s="59" t="s">
        <v>180</v>
      </c>
      <c r="E8" s="60" t="s">
        <v>181</v>
      </c>
      <c r="F8" s="59" t="s">
        <v>177</v>
      </c>
      <c r="G8" s="59" t="s">
        <v>131</v>
      </c>
      <c r="H8" s="59" t="s">
        <v>9</v>
      </c>
      <c r="I8" s="59" t="s">
        <v>107</v>
      </c>
      <c r="J8" s="59"/>
      <c r="K8" s="61">
        <v>17.579999999999998</v>
      </c>
      <c r="L8" s="61">
        <f t="shared" si="0"/>
        <v>17.579999999999998</v>
      </c>
      <c r="M8" s="62">
        <f>prodnorm18</f>
        <v>0</v>
      </c>
      <c r="N8" s="59" t="s">
        <v>34</v>
      </c>
      <c r="O8" s="63">
        <f>uurtarief18</f>
        <v>0</v>
      </c>
      <c r="P8" s="61" t="e">
        <f t="shared" si="1"/>
        <v>#DIV/0!</v>
      </c>
      <c r="Q8" s="63" t="e">
        <f t="shared" si="2"/>
        <v>#DIV/0!</v>
      </c>
      <c r="R8" s="61" t="e">
        <f t="shared" si="3"/>
        <v>#DIV/0!</v>
      </c>
      <c r="S8" s="64" t="e">
        <f t="shared" si="4"/>
        <v>#DIV/0!</v>
      </c>
    </row>
    <row r="9" spans="1:19" x14ac:dyDescent="0.2">
      <c r="A9" s="58" t="s">
        <v>169</v>
      </c>
      <c r="B9" s="59" t="s">
        <v>170</v>
      </c>
      <c r="C9" s="59" t="s">
        <v>171</v>
      </c>
      <c r="D9" s="59" t="s">
        <v>182</v>
      </c>
      <c r="E9" s="60" t="s">
        <v>183</v>
      </c>
      <c r="F9" s="59" t="s">
        <v>177</v>
      </c>
      <c r="G9" s="59" t="s">
        <v>131</v>
      </c>
      <c r="H9" s="59" t="s">
        <v>9</v>
      </c>
      <c r="I9" s="59" t="s">
        <v>107</v>
      </c>
      <c r="J9" s="59"/>
      <c r="K9" s="61">
        <v>11.9</v>
      </c>
      <c r="L9" s="61">
        <f t="shared" si="0"/>
        <v>11.9</v>
      </c>
      <c r="M9" s="62">
        <f>prodnorm18</f>
        <v>0</v>
      </c>
      <c r="N9" s="59" t="s">
        <v>34</v>
      </c>
      <c r="O9" s="63">
        <f>uurtarief18</f>
        <v>0</v>
      </c>
      <c r="P9" s="61" t="e">
        <f t="shared" si="1"/>
        <v>#DIV/0!</v>
      </c>
      <c r="Q9" s="63" t="e">
        <f t="shared" si="2"/>
        <v>#DIV/0!</v>
      </c>
      <c r="R9" s="61" t="e">
        <f t="shared" si="3"/>
        <v>#DIV/0!</v>
      </c>
      <c r="S9" s="64" t="e">
        <f t="shared" si="4"/>
        <v>#DIV/0!</v>
      </c>
    </row>
    <row r="10" spans="1:19" x14ac:dyDescent="0.2">
      <c r="A10" s="58" t="s">
        <v>169</v>
      </c>
      <c r="B10" s="59" t="s">
        <v>170</v>
      </c>
      <c r="C10" s="59" t="s">
        <v>171</v>
      </c>
      <c r="D10" s="59" t="s">
        <v>184</v>
      </c>
      <c r="E10" s="60" t="s">
        <v>185</v>
      </c>
      <c r="F10" s="59" t="s">
        <v>177</v>
      </c>
      <c r="G10" s="59" t="s">
        <v>119</v>
      </c>
      <c r="H10" s="59" t="s">
        <v>9</v>
      </c>
      <c r="I10" s="59" t="s">
        <v>107</v>
      </c>
      <c r="J10" s="59"/>
      <c r="K10" s="61">
        <v>27.1</v>
      </c>
      <c r="L10" s="61">
        <f t="shared" si="0"/>
        <v>27.1</v>
      </c>
      <c r="M10" s="62">
        <f>prodnorm12</f>
        <v>0</v>
      </c>
      <c r="N10" s="59" t="s">
        <v>34</v>
      </c>
      <c r="O10" s="63">
        <f>uurtarief12</f>
        <v>0</v>
      </c>
      <c r="P10" s="61" t="e">
        <f t="shared" si="1"/>
        <v>#DIV/0!</v>
      </c>
      <c r="Q10" s="63" t="e">
        <f t="shared" si="2"/>
        <v>#DIV/0!</v>
      </c>
      <c r="R10" s="61" t="e">
        <f t="shared" si="3"/>
        <v>#DIV/0!</v>
      </c>
      <c r="S10" s="64" t="e">
        <f t="shared" si="4"/>
        <v>#DIV/0!</v>
      </c>
    </row>
    <row r="11" spans="1:19" x14ac:dyDescent="0.2">
      <c r="A11" s="58" t="s">
        <v>169</v>
      </c>
      <c r="B11" s="59" t="s">
        <v>170</v>
      </c>
      <c r="C11" s="59" t="s">
        <v>171</v>
      </c>
      <c r="D11" s="59" t="s">
        <v>186</v>
      </c>
      <c r="E11" s="60" t="s">
        <v>185</v>
      </c>
      <c r="F11" s="59" t="s">
        <v>177</v>
      </c>
      <c r="G11" s="59" t="s">
        <v>119</v>
      </c>
      <c r="H11" s="59" t="s">
        <v>9</v>
      </c>
      <c r="I11" s="59" t="s">
        <v>107</v>
      </c>
      <c r="J11" s="59"/>
      <c r="K11" s="61">
        <v>39.1</v>
      </c>
      <c r="L11" s="61">
        <f t="shared" si="0"/>
        <v>39.1</v>
      </c>
      <c r="M11" s="62">
        <f>prodnorm12</f>
        <v>0</v>
      </c>
      <c r="N11" s="59" t="s">
        <v>34</v>
      </c>
      <c r="O11" s="63">
        <f>uurtarief12</f>
        <v>0</v>
      </c>
      <c r="P11" s="61" t="e">
        <f t="shared" si="1"/>
        <v>#DIV/0!</v>
      </c>
      <c r="Q11" s="63" t="e">
        <f t="shared" si="2"/>
        <v>#DIV/0!</v>
      </c>
      <c r="R11" s="61" t="e">
        <f t="shared" si="3"/>
        <v>#DIV/0!</v>
      </c>
      <c r="S11" s="64" t="e">
        <f t="shared" si="4"/>
        <v>#DIV/0!</v>
      </c>
    </row>
    <row r="12" spans="1:19" x14ac:dyDescent="0.2">
      <c r="A12" s="58" t="s">
        <v>169</v>
      </c>
      <c r="B12" s="59" t="s">
        <v>170</v>
      </c>
      <c r="C12" s="59" t="s">
        <v>171</v>
      </c>
      <c r="D12" s="59" t="s">
        <v>187</v>
      </c>
      <c r="E12" s="60" t="s">
        <v>188</v>
      </c>
      <c r="F12" s="59" t="s">
        <v>177</v>
      </c>
      <c r="G12" s="59" t="s">
        <v>119</v>
      </c>
      <c r="H12" s="59" t="s">
        <v>9</v>
      </c>
      <c r="I12" s="59" t="s">
        <v>107</v>
      </c>
      <c r="J12" s="59"/>
      <c r="K12" s="61">
        <v>21.4</v>
      </c>
      <c r="L12" s="61">
        <f t="shared" si="0"/>
        <v>21.4</v>
      </c>
      <c r="M12" s="62">
        <f>prodnorm12</f>
        <v>0</v>
      </c>
      <c r="N12" s="59" t="s">
        <v>34</v>
      </c>
      <c r="O12" s="63">
        <f>uurtarief12</f>
        <v>0</v>
      </c>
      <c r="P12" s="61" t="e">
        <f t="shared" si="1"/>
        <v>#DIV/0!</v>
      </c>
      <c r="Q12" s="63" t="e">
        <f t="shared" si="2"/>
        <v>#DIV/0!</v>
      </c>
      <c r="R12" s="61" t="e">
        <f t="shared" si="3"/>
        <v>#DIV/0!</v>
      </c>
      <c r="S12" s="64" t="e">
        <f t="shared" si="4"/>
        <v>#DIV/0!</v>
      </c>
    </row>
    <row r="13" spans="1:19" x14ac:dyDescent="0.2">
      <c r="A13" s="58" t="s">
        <v>169</v>
      </c>
      <c r="B13" s="59" t="s">
        <v>170</v>
      </c>
      <c r="C13" s="59" t="s">
        <v>171</v>
      </c>
      <c r="D13" s="59" t="s">
        <v>189</v>
      </c>
      <c r="E13" s="60" t="s">
        <v>188</v>
      </c>
      <c r="F13" s="59" t="s">
        <v>177</v>
      </c>
      <c r="G13" s="59" t="s">
        <v>119</v>
      </c>
      <c r="H13" s="59" t="s">
        <v>9</v>
      </c>
      <c r="I13" s="59" t="s">
        <v>107</v>
      </c>
      <c r="J13" s="59"/>
      <c r="K13" s="61">
        <v>34.6</v>
      </c>
      <c r="L13" s="61">
        <f t="shared" si="0"/>
        <v>34.6</v>
      </c>
      <c r="M13" s="62">
        <f>prodnorm12</f>
        <v>0</v>
      </c>
      <c r="N13" s="59" t="s">
        <v>34</v>
      </c>
      <c r="O13" s="63">
        <f>uurtarief12</f>
        <v>0</v>
      </c>
      <c r="P13" s="61" t="e">
        <f t="shared" si="1"/>
        <v>#DIV/0!</v>
      </c>
      <c r="Q13" s="63" t="e">
        <f t="shared" si="2"/>
        <v>#DIV/0!</v>
      </c>
      <c r="R13" s="61" t="e">
        <f t="shared" si="3"/>
        <v>#DIV/0!</v>
      </c>
      <c r="S13" s="64" t="e">
        <f t="shared" si="4"/>
        <v>#DIV/0!</v>
      </c>
    </row>
    <row r="14" spans="1:19" x14ac:dyDescent="0.2">
      <c r="A14" s="58" t="s">
        <v>169</v>
      </c>
      <c r="B14" s="59" t="s">
        <v>170</v>
      </c>
      <c r="C14" s="59" t="s">
        <v>171</v>
      </c>
      <c r="D14" s="59" t="s">
        <v>190</v>
      </c>
      <c r="E14" s="60" t="s">
        <v>191</v>
      </c>
      <c r="F14" s="59" t="s">
        <v>192</v>
      </c>
      <c r="G14" s="59" t="s">
        <v>127</v>
      </c>
      <c r="H14" s="59" t="s">
        <v>9</v>
      </c>
      <c r="I14" s="59" t="s">
        <v>107</v>
      </c>
      <c r="J14" s="59"/>
      <c r="K14" s="61">
        <v>10.57</v>
      </c>
      <c r="L14" s="61">
        <f t="shared" si="0"/>
        <v>10.57</v>
      </c>
      <c r="M14" s="62">
        <f>prodnorm16</f>
        <v>0</v>
      </c>
      <c r="N14" s="59" t="s">
        <v>34</v>
      </c>
      <c r="O14" s="63">
        <f>uurtarief16</f>
        <v>0</v>
      </c>
      <c r="P14" s="61" t="e">
        <f t="shared" si="1"/>
        <v>#DIV/0!</v>
      </c>
      <c r="Q14" s="63" t="e">
        <f t="shared" si="2"/>
        <v>#DIV/0!</v>
      </c>
      <c r="R14" s="61" t="e">
        <f t="shared" si="3"/>
        <v>#DIV/0!</v>
      </c>
      <c r="S14" s="64" t="e">
        <f t="shared" si="4"/>
        <v>#DIV/0!</v>
      </c>
    </row>
    <row r="15" spans="1:19" x14ac:dyDescent="0.2">
      <c r="A15" s="58" t="s">
        <v>169</v>
      </c>
      <c r="B15" s="59" t="s">
        <v>170</v>
      </c>
      <c r="C15" s="59" t="s">
        <v>171</v>
      </c>
      <c r="D15" s="59" t="s">
        <v>193</v>
      </c>
      <c r="E15" s="60" t="s">
        <v>194</v>
      </c>
      <c r="F15" s="59" t="s">
        <v>195</v>
      </c>
      <c r="G15" s="59" t="s">
        <v>109</v>
      </c>
      <c r="H15" s="59" t="s">
        <v>9</v>
      </c>
      <c r="I15" s="59" t="s">
        <v>107</v>
      </c>
      <c r="J15" s="59"/>
      <c r="K15" s="61">
        <v>23.99</v>
      </c>
      <c r="L15" s="61">
        <f t="shared" si="0"/>
        <v>23.99</v>
      </c>
      <c r="M15" s="62">
        <f>prodnorm7</f>
        <v>0</v>
      </c>
      <c r="N15" s="59" t="s">
        <v>34</v>
      </c>
      <c r="O15" s="63">
        <f>uurtarief7</f>
        <v>0</v>
      </c>
      <c r="P15" s="61" t="e">
        <f t="shared" si="1"/>
        <v>#DIV/0!</v>
      </c>
      <c r="Q15" s="63" t="e">
        <f t="shared" si="2"/>
        <v>#DIV/0!</v>
      </c>
      <c r="R15" s="61" t="e">
        <f t="shared" si="3"/>
        <v>#DIV/0!</v>
      </c>
      <c r="S15" s="64" t="e">
        <f t="shared" si="4"/>
        <v>#DIV/0!</v>
      </c>
    </row>
    <row r="16" spans="1:19" x14ac:dyDescent="0.2">
      <c r="A16" s="58" t="s">
        <v>169</v>
      </c>
      <c r="B16" s="59" t="s">
        <v>170</v>
      </c>
      <c r="C16" s="59" t="s">
        <v>171</v>
      </c>
      <c r="D16" s="59" t="s">
        <v>196</v>
      </c>
      <c r="E16" s="60" t="s">
        <v>197</v>
      </c>
      <c r="F16" s="59" t="s">
        <v>195</v>
      </c>
      <c r="G16" s="59" t="s">
        <v>133</v>
      </c>
      <c r="H16" s="59" t="s">
        <v>9</v>
      </c>
      <c r="I16" s="59" t="s">
        <v>107</v>
      </c>
      <c r="J16" s="59"/>
      <c r="K16" s="61">
        <v>6.96</v>
      </c>
      <c r="L16" s="61">
        <f t="shared" si="0"/>
        <v>6.96</v>
      </c>
      <c r="M16" s="62">
        <f>prodnorm19</f>
        <v>0</v>
      </c>
      <c r="N16" s="59" t="s">
        <v>34</v>
      </c>
      <c r="O16" s="63">
        <f>uurtarief19</f>
        <v>0</v>
      </c>
      <c r="P16" s="61" t="e">
        <f t="shared" si="1"/>
        <v>#DIV/0!</v>
      </c>
      <c r="Q16" s="63" t="e">
        <f t="shared" si="2"/>
        <v>#DIV/0!</v>
      </c>
      <c r="R16" s="61" t="e">
        <f t="shared" si="3"/>
        <v>#DIV/0!</v>
      </c>
      <c r="S16" s="64" t="e">
        <f t="shared" si="4"/>
        <v>#DIV/0!</v>
      </c>
    </row>
    <row r="17" spans="1:19" x14ac:dyDescent="0.2">
      <c r="A17" s="58" t="s">
        <v>169</v>
      </c>
      <c r="B17" s="59" t="s">
        <v>170</v>
      </c>
      <c r="C17" s="59" t="s">
        <v>171</v>
      </c>
      <c r="D17" s="59" t="s">
        <v>198</v>
      </c>
      <c r="E17" s="60" t="s">
        <v>194</v>
      </c>
      <c r="F17" s="59" t="s">
        <v>195</v>
      </c>
      <c r="G17" s="59" t="s">
        <v>109</v>
      </c>
      <c r="H17" s="59" t="s">
        <v>9</v>
      </c>
      <c r="I17" s="59" t="s">
        <v>107</v>
      </c>
      <c r="J17" s="59"/>
      <c r="K17" s="61">
        <v>22.8</v>
      </c>
      <c r="L17" s="61">
        <f t="shared" si="0"/>
        <v>22.8</v>
      </c>
      <c r="M17" s="62">
        <f>prodnorm7</f>
        <v>0</v>
      </c>
      <c r="N17" s="59" t="s">
        <v>34</v>
      </c>
      <c r="O17" s="63">
        <f>uurtarief7</f>
        <v>0</v>
      </c>
      <c r="P17" s="61" t="e">
        <f t="shared" si="1"/>
        <v>#DIV/0!</v>
      </c>
      <c r="Q17" s="63" t="e">
        <f t="shared" si="2"/>
        <v>#DIV/0!</v>
      </c>
      <c r="R17" s="61" t="e">
        <f t="shared" si="3"/>
        <v>#DIV/0!</v>
      </c>
      <c r="S17" s="64" t="e">
        <f t="shared" si="4"/>
        <v>#DIV/0!</v>
      </c>
    </row>
    <row r="18" spans="1:19" x14ac:dyDescent="0.2">
      <c r="A18" s="58" t="s">
        <v>169</v>
      </c>
      <c r="B18" s="59" t="s">
        <v>170</v>
      </c>
      <c r="C18" s="59" t="s">
        <v>171</v>
      </c>
      <c r="D18" s="59" t="s">
        <v>199</v>
      </c>
      <c r="E18" s="60" t="s">
        <v>194</v>
      </c>
      <c r="F18" s="59" t="s">
        <v>195</v>
      </c>
      <c r="G18" s="59" t="s">
        <v>109</v>
      </c>
      <c r="H18" s="59" t="s">
        <v>9</v>
      </c>
      <c r="I18" s="59" t="s">
        <v>107</v>
      </c>
      <c r="J18" s="59"/>
      <c r="K18" s="61">
        <v>15.229999999999999</v>
      </c>
      <c r="L18" s="61">
        <f t="shared" si="0"/>
        <v>15.229999999999999</v>
      </c>
      <c r="M18" s="62">
        <f>prodnorm7</f>
        <v>0</v>
      </c>
      <c r="N18" s="59" t="s">
        <v>34</v>
      </c>
      <c r="O18" s="63">
        <f>uurtarief7</f>
        <v>0</v>
      </c>
      <c r="P18" s="61" t="e">
        <f t="shared" si="1"/>
        <v>#DIV/0!</v>
      </c>
      <c r="Q18" s="63" t="e">
        <f t="shared" si="2"/>
        <v>#DIV/0!</v>
      </c>
      <c r="R18" s="61" t="e">
        <f t="shared" si="3"/>
        <v>#DIV/0!</v>
      </c>
      <c r="S18" s="64" t="e">
        <f t="shared" si="4"/>
        <v>#DIV/0!</v>
      </c>
    </row>
    <row r="19" spans="1:19" x14ac:dyDescent="0.2">
      <c r="A19" s="58" t="s">
        <v>169</v>
      </c>
      <c r="B19" s="59" t="s">
        <v>170</v>
      </c>
      <c r="C19" s="59" t="s">
        <v>171</v>
      </c>
      <c r="D19" s="59" t="s">
        <v>200</v>
      </c>
      <c r="E19" s="60" t="s">
        <v>194</v>
      </c>
      <c r="F19" s="59" t="s">
        <v>195</v>
      </c>
      <c r="G19" s="59" t="s">
        <v>109</v>
      </c>
      <c r="H19" s="59" t="s">
        <v>9</v>
      </c>
      <c r="I19" s="59" t="s">
        <v>107</v>
      </c>
      <c r="J19" s="59"/>
      <c r="K19" s="61">
        <v>16.38</v>
      </c>
      <c r="L19" s="61">
        <f t="shared" si="0"/>
        <v>16.38</v>
      </c>
      <c r="M19" s="62">
        <f>prodnorm7</f>
        <v>0</v>
      </c>
      <c r="N19" s="59" t="s">
        <v>34</v>
      </c>
      <c r="O19" s="63">
        <f>uurtarief7</f>
        <v>0</v>
      </c>
      <c r="P19" s="61" t="e">
        <f t="shared" si="1"/>
        <v>#DIV/0!</v>
      </c>
      <c r="Q19" s="63" t="e">
        <f t="shared" si="2"/>
        <v>#DIV/0!</v>
      </c>
      <c r="R19" s="61" t="e">
        <f t="shared" si="3"/>
        <v>#DIV/0!</v>
      </c>
      <c r="S19" s="64" t="e">
        <f t="shared" si="4"/>
        <v>#DIV/0!</v>
      </c>
    </row>
    <row r="20" spans="1:19" x14ac:dyDescent="0.2">
      <c r="A20" s="58" t="s">
        <v>169</v>
      </c>
      <c r="B20" s="59" t="s">
        <v>170</v>
      </c>
      <c r="C20" s="59" t="s">
        <v>171</v>
      </c>
      <c r="D20" s="59" t="s">
        <v>201</v>
      </c>
      <c r="E20" s="60" t="s">
        <v>194</v>
      </c>
      <c r="F20" s="59" t="s">
        <v>195</v>
      </c>
      <c r="G20" s="59" t="s">
        <v>109</v>
      </c>
      <c r="H20" s="59" t="s">
        <v>9</v>
      </c>
      <c r="I20" s="59" t="s">
        <v>107</v>
      </c>
      <c r="J20" s="59"/>
      <c r="K20" s="61">
        <v>17.41</v>
      </c>
      <c r="L20" s="61">
        <f t="shared" si="0"/>
        <v>17.41</v>
      </c>
      <c r="M20" s="62">
        <f>prodnorm7</f>
        <v>0</v>
      </c>
      <c r="N20" s="59" t="s">
        <v>34</v>
      </c>
      <c r="O20" s="63">
        <f>uurtarief7</f>
        <v>0</v>
      </c>
      <c r="P20" s="61" t="e">
        <f t="shared" si="1"/>
        <v>#DIV/0!</v>
      </c>
      <c r="Q20" s="63" t="e">
        <f t="shared" si="2"/>
        <v>#DIV/0!</v>
      </c>
      <c r="R20" s="61" t="e">
        <f t="shared" si="3"/>
        <v>#DIV/0!</v>
      </c>
      <c r="S20" s="64" t="e">
        <f t="shared" si="4"/>
        <v>#DIV/0!</v>
      </c>
    </row>
    <row r="21" spans="1:19" x14ac:dyDescent="0.2">
      <c r="A21" s="58" t="s">
        <v>169</v>
      </c>
      <c r="B21" s="59" t="s">
        <v>170</v>
      </c>
      <c r="C21" s="59" t="s">
        <v>171</v>
      </c>
      <c r="D21" s="59" t="s">
        <v>202</v>
      </c>
      <c r="E21" s="60" t="s">
        <v>203</v>
      </c>
      <c r="F21" s="59" t="s">
        <v>177</v>
      </c>
      <c r="G21" s="59" t="s">
        <v>119</v>
      </c>
      <c r="H21" s="59" t="s">
        <v>9</v>
      </c>
      <c r="I21" s="59" t="s">
        <v>107</v>
      </c>
      <c r="J21" s="59"/>
      <c r="K21" s="61">
        <v>20.110000000000003</v>
      </c>
      <c r="L21" s="61">
        <f t="shared" si="0"/>
        <v>20.110000000000003</v>
      </c>
      <c r="M21" s="62">
        <f>prodnorm12</f>
        <v>0</v>
      </c>
      <c r="N21" s="59" t="s">
        <v>34</v>
      </c>
      <c r="O21" s="63">
        <f>uurtarief12</f>
        <v>0</v>
      </c>
      <c r="P21" s="61" t="e">
        <f t="shared" si="1"/>
        <v>#DIV/0!</v>
      </c>
      <c r="Q21" s="63" t="e">
        <f t="shared" si="2"/>
        <v>#DIV/0!</v>
      </c>
      <c r="R21" s="61" t="e">
        <f t="shared" si="3"/>
        <v>#DIV/0!</v>
      </c>
      <c r="S21" s="64" t="e">
        <f t="shared" si="4"/>
        <v>#DIV/0!</v>
      </c>
    </row>
    <row r="22" spans="1:19" x14ac:dyDescent="0.2">
      <c r="A22" s="58" t="s">
        <v>169</v>
      </c>
      <c r="B22" s="59" t="s">
        <v>170</v>
      </c>
      <c r="C22" s="59" t="s">
        <v>171</v>
      </c>
      <c r="D22" s="59" t="s">
        <v>204</v>
      </c>
      <c r="E22" s="60" t="s">
        <v>205</v>
      </c>
      <c r="F22" s="59" t="s">
        <v>177</v>
      </c>
      <c r="G22" s="59" t="s">
        <v>119</v>
      </c>
      <c r="H22" s="59" t="s">
        <v>9</v>
      </c>
      <c r="I22" s="59" t="s">
        <v>107</v>
      </c>
      <c r="J22" s="59"/>
      <c r="K22" s="61">
        <v>22.4</v>
      </c>
      <c r="L22" s="61">
        <f t="shared" si="0"/>
        <v>22.4</v>
      </c>
      <c r="M22" s="62">
        <f>prodnorm12</f>
        <v>0</v>
      </c>
      <c r="N22" s="59" t="s">
        <v>34</v>
      </c>
      <c r="O22" s="63">
        <f>uurtarief12</f>
        <v>0</v>
      </c>
      <c r="P22" s="61" t="e">
        <f t="shared" si="1"/>
        <v>#DIV/0!</v>
      </c>
      <c r="Q22" s="63" t="e">
        <f t="shared" si="2"/>
        <v>#DIV/0!</v>
      </c>
      <c r="R22" s="61" t="e">
        <f t="shared" si="3"/>
        <v>#DIV/0!</v>
      </c>
      <c r="S22" s="64" t="e">
        <f t="shared" si="4"/>
        <v>#DIV/0!</v>
      </c>
    </row>
    <row r="23" spans="1:19" x14ac:dyDescent="0.2">
      <c r="A23" s="58" t="s">
        <v>169</v>
      </c>
      <c r="B23" s="59" t="s">
        <v>170</v>
      </c>
      <c r="C23" s="59" t="s">
        <v>171</v>
      </c>
      <c r="D23" s="59" t="s">
        <v>206</v>
      </c>
      <c r="E23" s="60" t="s">
        <v>207</v>
      </c>
      <c r="F23" s="59" t="s">
        <v>208</v>
      </c>
      <c r="G23" s="59" t="s">
        <v>117</v>
      </c>
      <c r="H23" s="59" t="s">
        <v>9</v>
      </c>
      <c r="I23" s="59" t="s">
        <v>107</v>
      </c>
      <c r="J23" s="59"/>
      <c r="K23" s="61">
        <v>10</v>
      </c>
      <c r="L23" s="61">
        <f t="shared" si="0"/>
        <v>10</v>
      </c>
      <c r="M23" s="62">
        <f>prodnorm11</f>
        <v>0</v>
      </c>
      <c r="N23" s="59" t="s">
        <v>34</v>
      </c>
      <c r="O23" s="63">
        <f>uurtarief11</f>
        <v>0</v>
      </c>
      <c r="P23" s="61" t="e">
        <f t="shared" si="1"/>
        <v>#DIV/0!</v>
      </c>
      <c r="Q23" s="63" t="e">
        <f t="shared" si="2"/>
        <v>#DIV/0!</v>
      </c>
      <c r="R23" s="61" t="e">
        <f t="shared" si="3"/>
        <v>#DIV/0!</v>
      </c>
      <c r="S23" s="64" t="e">
        <f t="shared" si="4"/>
        <v>#DIV/0!</v>
      </c>
    </row>
    <row r="24" spans="1:19" x14ac:dyDescent="0.2">
      <c r="A24" s="58" t="s">
        <v>169</v>
      </c>
      <c r="B24" s="59" t="s">
        <v>170</v>
      </c>
      <c r="C24" s="59" t="s">
        <v>171</v>
      </c>
      <c r="D24" s="59" t="s">
        <v>209</v>
      </c>
      <c r="E24" s="60" t="s">
        <v>210</v>
      </c>
      <c r="F24" s="59" t="s">
        <v>208</v>
      </c>
      <c r="G24" s="59" t="s">
        <v>111</v>
      </c>
      <c r="H24" s="59" t="s">
        <v>9</v>
      </c>
      <c r="I24" s="59" t="s">
        <v>107</v>
      </c>
      <c r="J24" s="59"/>
      <c r="K24" s="61">
        <v>1.54</v>
      </c>
      <c r="L24" s="61">
        <f t="shared" si="0"/>
        <v>1.54</v>
      </c>
      <c r="M24" s="62">
        <f>prodnorm8</f>
        <v>0</v>
      </c>
      <c r="N24" s="59" t="s">
        <v>34</v>
      </c>
      <c r="O24" s="63">
        <f>uurtarief8</f>
        <v>0</v>
      </c>
      <c r="P24" s="61" t="e">
        <f t="shared" si="1"/>
        <v>#DIV/0!</v>
      </c>
      <c r="Q24" s="63" t="e">
        <f t="shared" si="2"/>
        <v>#DIV/0!</v>
      </c>
      <c r="R24" s="61" t="e">
        <f t="shared" si="3"/>
        <v>#DIV/0!</v>
      </c>
      <c r="S24" s="64" t="e">
        <f t="shared" si="4"/>
        <v>#DIV/0!</v>
      </c>
    </row>
    <row r="25" spans="1:19" x14ac:dyDescent="0.2">
      <c r="A25" s="58" t="s">
        <v>169</v>
      </c>
      <c r="B25" s="59" t="s">
        <v>170</v>
      </c>
      <c r="C25" s="59" t="s">
        <v>171</v>
      </c>
      <c r="D25" s="59" t="s">
        <v>211</v>
      </c>
      <c r="E25" s="60" t="s">
        <v>212</v>
      </c>
      <c r="F25" s="59" t="s">
        <v>208</v>
      </c>
      <c r="G25" s="59" t="s">
        <v>125</v>
      </c>
      <c r="H25" s="59" t="s">
        <v>9</v>
      </c>
      <c r="I25" s="59" t="s">
        <v>107</v>
      </c>
      <c r="J25" s="59"/>
      <c r="K25" s="61">
        <v>1.7</v>
      </c>
      <c r="L25" s="61">
        <f t="shared" si="0"/>
        <v>1.7</v>
      </c>
      <c r="M25" s="62">
        <f t="shared" ref="M25:M31" si="5">prodnorm15</f>
        <v>0</v>
      </c>
      <c r="N25" s="59" t="s">
        <v>34</v>
      </c>
      <c r="O25" s="63">
        <f t="shared" ref="O25:O31" si="6">uurtarief15</f>
        <v>0</v>
      </c>
      <c r="P25" s="61" t="e">
        <f t="shared" si="1"/>
        <v>#DIV/0!</v>
      </c>
      <c r="Q25" s="63" t="e">
        <f t="shared" si="2"/>
        <v>#DIV/0!</v>
      </c>
      <c r="R25" s="61" t="e">
        <f t="shared" si="3"/>
        <v>#DIV/0!</v>
      </c>
      <c r="S25" s="64" t="e">
        <f t="shared" si="4"/>
        <v>#DIV/0!</v>
      </c>
    </row>
    <row r="26" spans="1:19" x14ac:dyDescent="0.2">
      <c r="A26" s="58" t="s">
        <v>169</v>
      </c>
      <c r="B26" s="59" t="s">
        <v>170</v>
      </c>
      <c r="C26" s="59" t="s">
        <v>171</v>
      </c>
      <c r="D26" s="59" t="s">
        <v>213</v>
      </c>
      <c r="E26" s="60" t="s">
        <v>214</v>
      </c>
      <c r="F26" s="59" t="s">
        <v>208</v>
      </c>
      <c r="G26" s="59" t="s">
        <v>125</v>
      </c>
      <c r="H26" s="59" t="s">
        <v>9</v>
      </c>
      <c r="I26" s="59" t="s">
        <v>107</v>
      </c>
      <c r="J26" s="59"/>
      <c r="K26" s="61">
        <v>3.75</v>
      </c>
      <c r="L26" s="61">
        <f t="shared" si="0"/>
        <v>3.75</v>
      </c>
      <c r="M26" s="62">
        <f t="shared" si="5"/>
        <v>0</v>
      </c>
      <c r="N26" s="59" t="s">
        <v>34</v>
      </c>
      <c r="O26" s="63">
        <f t="shared" si="6"/>
        <v>0</v>
      </c>
      <c r="P26" s="61" t="e">
        <f t="shared" si="1"/>
        <v>#DIV/0!</v>
      </c>
      <c r="Q26" s="63" t="e">
        <f t="shared" si="2"/>
        <v>#DIV/0!</v>
      </c>
      <c r="R26" s="61" t="e">
        <f t="shared" si="3"/>
        <v>#DIV/0!</v>
      </c>
      <c r="S26" s="64" t="e">
        <f t="shared" si="4"/>
        <v>#DIV/0!</v>
      </c>
    </row>
    <row r="27" spans="1:19" x14ac:dyDescent="0.2">
      <c r="A27" s="58" t="s">
        <v>169</v>
      </c>
      <c r="B27" s="59" t="s">
        <v>170</v>
      </c>
      <c r="C27" s="59" t="s">
        <v>171</v>
      </c>
      <c r="D27" s="59" t="s">
        <v>215</v>
      </c>
      <c r="E27" s="60" t="s">
        <v>216</v>
      </c>
      <c r="F27" s="59" t="s">
        <v>208</v>
      </c>
      <c r="G27" s="59" t="s">
        <v>125</v>
      </c>
      <c r="H27" s="59" t="s">
        <v>9</v>
      </c>
      <c r="I27" s="59" t="s">
        <v>107</v>
      </c>
      <c r="J27" s="59"/>
      <c r="K27" s="61">
        <v>1.07</v>
      </c>
      <c r="L27" s="61">
        <f t="shared" si="0"/>
        <v>1.07</v>
      </c>
      <c r="M27" s="62">
        <f t="shared" si="5"/>
        <v>0</v>
      </c>
      <c r="N27" s="59" t="s">
        <v>34</v>
      </c>
      <c r="O27" s="63">
        <f t="shared" si="6"/>
        <v>0</v>
      </c>
      <c r="P27" s="61" t="e">
        <f t="shared" si="1"/>
        <v>#DIV/0!</v>
      </c>
      <c r="Q27" s="63" t="e">
        <f t="shared" si="2"/>
        <v>#DIV/0!</v>
      </c>
      <c r="R27" s="61" t="e">
        <f t="shared" si="3"/>
        <v>#DIV/0!</v>
      </c>
      <c r="S27" s="64" t="e">
        <f t="shared" si="4"/>
        <v>#DIV/0!</v>
      </c>
    </row>
    <row r="28" spans="1:19" x14ac:dyDescent="0.2">
      <c r="A28" s="58" t="s">
        <v>169</v>
      </c>
      <c r="B28" s="59" t="s">
        <v>170</v>
      </c>
      <c r="C28" s="59" t="s">
        <v>171</v>
      </c>
      <c r="D28" s="59" t="s">
        <v>217</v>
      </c>
      <c r="E28" s="60" t="s">
        <v>216</v>
      </c>
      <c r="F28" s="59" t="s">
        <v>208</v>
      </c>
      <c r="G28" s="59" t="s">
        <v>125</v>
      </c>
      <c r="H28" s="59" t="s">
        <v>9</v>
      </c>
      <c r="I28" s="59" t="s">
        <v>107</v>
      </c>
      <c r="J28" s="59"/>
      <c r="K28" s="61">
        <v>1.07</v>
      </c>
      <c r="L28" s="61">
        <f t="shared" si="0"/>
        <v>1.07</v>
      </c>
      <c r="M28" s="62">
        <f t="shared" si="5"/>
        <v>0</v>
      </c>
      <c r="N28" s="59" t="s">
        <v>34</v>
      </c>
      <c r="O28" s="63">
        <f t="shared" si="6"/>
        <v>0</v>
      </c>
      <c r="P28" s="61" t="e">
        <f t="shared" si="1"/>
        <v>#DIV/0!</v>
      </c>
      <c r="Q28" s="63" t="e">
        <f t="shared" si="2"/>
        <v>#DIV/0!</v>
      </c>
      <c r="R28" s="61" t="e">
        <f t="shared" si="3"/>
        <v>#DIV/0!</v>
      </c>
      <c r="S28" s="64" t="e">
        <f t="shared" si="4"/>
        <v>#DIV/0!</v>
      </c>
    </row>
    <row r="29" spans="1:19" x14ac:dyDescent="0.2">
      <c r="A29" s="58" t="s">
        <v>169</v>
      </c>
      <c r="B29" s="59" t="s">
        <v>170</v>
      </c>
      <c r="C29" s="59" t="s">
        <v>171</v>
      </c>
      <c r="D29" s="59" t="s">
        <v>218</v>
      </c>
      <c r="E29" s="60" t="s">
        <v>219</v>
      </c>
      <c r="F29" s="59" t="s">
        <v>208</v>
      </c>
      <c r="G29" s="59" t="s">
        <v>125</v>
      </c>
      <c r="H29" s="59" t="s">
        <v>9</v>
      </c>
      <c r="I29" s="59" t="s">
        <v>107</v>
      </c>
      <c r="J29" s="59"/>
      <c r="K29" s="61">
        <v>2.8299999999999996</v>
      </c>
      <c r="L29" s="61">
        <f t="shared" si="0"/>
        <v>2.8299999999999996</v>
      </c>
      <c r="M29" s="62">
        <f t="shared" si="5"/>
        <v>0</v>
      </c>
      <c r="N29" s="59" t="s">
        <v>34</v>
      </c>
      <c r="O29" s="63">
        <f t="shared" si="6"/>
        <v>0</v>
      </c>
      <c r="P29" s="61" t="e">
        <f t="shared" si="1"/>
        <v>#DIV/0!</v>
      </c>
      <c r="Q29" s="63" t="e">
        <f t="shared" si="2"/>
        <v>#DIV/0!</v>
      </c>
      <c r="R29" s="61" t="e">
        <f t="shared" si="3"/>
        <v>#DIV/0!</v>
      </c>
      <c r="S29" s="64" t="e">
        <f t="shared" si="4"/>
        <v>#DIV/0!</v>
      </c>
    </row>
    <row r="30" spans="1:19" x14ac:dyDescent="0.2">
      <c r="A30" s="58" t="s">
        <v>169</v>
      </c>
      <c r="B30" s="59" t="s">
        <v>170</v>
      </c>
      <c r="C30" s="59" t="s">
        <v>171</v>
      </c>
      <c r="D30" s="59" t="s">
        <v>220</v>
      </c>
      <c r="E30" s="60" t="s">
        <v>212</v>
      </c>
      <c r="F30" s="59" t="s">
        <v>208</v>
      </c>
      <c r="G30" s="59" t="s">
        <v>125</v>
      </c>
      <c r="H30" s="59" t="s">
        <v>9</v>
      </c>
      <c r="I30" s="59" t="s">
        <v>107</v>
      </c>
      <c r="J30" s="59"/>
      <c r="K30" s="61">
        <v>1.07</v>
      </c>
      <c r="L30" s="61">
        <f t="shared" si="0"/>
        <v>1.07</v>
      </c>
      <c r="M30" s="62">
        <f t="shared" si="5"/>
        <v>0</v>
      </c>
      <c r="N30" s="59" t="s">
        <v>34</v>
      </c>
      <c r="O30" s="63">
        <f t="shared" si="6"/>
        <v>0</v>
      </c>
      <c r="P30" s="61" t="e">
        <f t="shared" si="1"/>
        <v>#DIV/0!</v>
      </c>
      <c r="Q30" s="63" t="e">
        <f t="shared" si="2"/>
        <v>#DIV/0!</v>
      </c>
      <c r="R30" s="61" t="e">
        <f t="shared" si="3"/>
        <v>#DIV/0!</v>
      </c>
      <c r="S30" s="64" t="e">
        <f t="shared" si="4"/>
        <v>#DIV/0!</v>
      </c>
    </row>
    <row r="31" spans="1:19" x14ac:dyDescent="0.2">
      <c r="A31" s="58" t="s">
        <v>169</v>
      </c>
      <c r="B31" s="59" t="s">
        <v>170</v>
      </c>
      <c r="C31" s="59" t="s">
        <v>171</v>
      </c>
      <c r="D31" s="59" t="s">
        <v>221</v>
      </c>
      <c r="E31" s="60" t="s">
        <v>212</v>
      </c>
      <c r="F31" s="59" t="s">
        <v>208</v>
      </c>
      <c r="G31" s="59" t="s">
        <v>125</v>
      </c>
      <c r="H31" s="59" t="s">
        <v>9</v>
      </c>
      <c r="I31" s="59" t="s">
        <v>107</v>
      </c>
      <c r="J31" s="59"/>
      <c r="K31" s="61">
        <v>1.54</v>
      </c>
      <c r="L31" s="61">
        <f t="shared" si="0"/>
        <v>1.54</v>
      </c>
      <c r="M31" s="62">
        <f t="shared" si="5"/>
        <v>0</v>
      </c>
      <c r="N31" s="59" t="s">
        <v>34</v>
      </c>
      <c r="O31" s="63">
        <f t="shared" si="6"/>
        <v>0</v>
      </c>
      <c r="P31" s="61" t="e">
        <f t="shared" si="1"/>
        <v>#DIV/0!</v>
      </c>
      <c r="Q31" s="63" t="e">
        <f t="shared" si="2"/>
        <v>#DIV/0!</v>
      </c>
      <c r="R31" s="61" t="e">
        <f t="shared" si="3"/>
        <v>#DIV/0!</v>
      </c>
      <c r="S31" s="64" t="e">
        <f t="shared" si="4"/>
        <v>#DIV/0!</v>
      </c>
    </row>
    <row r="32" spans="1:19" ht="25.5" x14ac:dyDescent="0.2">
      <c r="A32" s="58" t="s">
        <v>169</v>
      </c>
      <c r="B32" s="59" t="s">
        <v>170</v>
      </c>
      <c r="C32" s="59" t="s">
        <v>171</v>
      </c>
      <c r="D32" s="59" t="s">
        <v>222</v>
      </c>
      <c r="E32" s="60" t="s">
        <v>223</v>
      </c>
      <c r="F32" s="59" t="s">
        <v>224</v>
      </c>
      <c r="G32" s="59" t="s">
        <v>127</v>
      </c>
      <c r="H32" s="59" t="s">
        <v>9</v>
      </c>
      <c r="I32" s="59" t="s">
        <v>107</v>
      </c>
      <c r="J32" s="59"/>
      <c r="K32" s="61">
        <v>8.870000000000001</v>
      </c>
      <c r="L32" s="61">
        <f t="shared" si="0"/>
        <v>8.870000000000001</v>
      </c>
      <c r="M32" s="62">
        <f>prodnorm16</f>
        <v>0</v>
      </c>
      <c r="N32" s="59" t="s">
        <v>34</v>
      </c>
      <c r="O32" s="63">
        <f>uurtarief16</f>
        <v>0</v>
      </c>
      <c r="P32" s="61" t="e">
        <f t="shared" si="1"/>
        <v>#DIV/0!</v>
      </c>
      <c r="Q32" s="63" t="e">
        <f t="shared" si="2"/>
        <v>#DIV/0!</v>
      </c>
      <c r="R32" s="61" t="e">
        <f t="shared" si="3"/>
        <v>#DIV/0!</v>
      </c>
      <c r="S32" s="64" t="e">
        <f t="shared" si="4"/>
        <v>#DIV/0!</v>
      </c>
    </row>
    <row r="33" spans="1:19" x14ac:dyDescent="0.2">
      <c r="A33" s="58" t="s">
        <v>169</v>
      </c>
      <c r="B33" s="59" t="s">
        <v>170</v>
      </c>
      <c r="C33" s="59" t="s">
        <v>171</v>
      </c>
      <c r="D33" s="59" t="s">
        <v>225</v>
      </c>
      <c r="E33" s="60" t="s">
        <v>226</v>
      </c>
      <c r="F33" s="59" t="s">
        <v>227</v>
      </c>
      <c r="G33" s="59" t="s">
        <v>115</v>
      </c>
      <c r="H33" s="59" t="s">
        <v>9</v>
      </c>
      <c r="I33" s="59" t="s">
        <v>107</v>
      </c>
      <c r="J33" s="59"/>
      <c r="K33" s="61">
        <v>1.55</v>
      </c>
      <c r="L33" s="61">
        <f t="shared" si="0"/>
        <v>1.55</v>
      </c>
      <c r="M33" s="62">
        <f>prodnorm10</f>
        <v>0</v>
      </c>
      <c r="N33" s="59" t="s">
        <v>34</v>
      </c>
      <c r="O33" s="63">
        <f>uurtarief10</f>
        <v>0</v>
      </c>
      <c r="P33" s="61" t="e">
        <f t="shared" si="1"/>
        <v>#DIV/0!</v>
      </c>
      <c r="Q33" s="63" t="e">
        <f t="shared" si="2"/>
        <v>#DIV/0!</v>
      </c>
      <c r="R33" s="61" t="e">
        <f t="shared" si="3"/>
        <v>#DIV/0!</v>
      </c>
      <c r="S33" s="64" t="e">
        <f t="shared" si="4"/>
        <v>#DIV/0!</v>
      </c>
    </row>
    <row r="34" spans="1:19" x14ac:dyDescent="0.2">
      <c r="A34" s="58" t="s">
        <v>169</v>
      </c>
      <c r="B34" s="59" t="s">
        <v>170</v>
      </c>
      <c r="C34" s="59" t="s">
        <v>171</v>
      </c>
      <c r="D34" s="59" t="s">
        <v>225</v>
      </c>
      <c r="E34" s="60" t="s">
        <v>226</v>
      </c>
      <c r="F34" s="59" t="s">
        <v>227</v>
      </c>
      <c r="G34" s="59" t="s">
        <v>137</v>
      </c>
      <c r="H34" s="59" t="s">
        <v>21</v>
      </c>
      <c r="I34" s="59" t="s">
        <v>107</v>
      </c>
      <c r="J34" s="59"/>
      <c r="K34" s="61">
        <v>1.55</v>
      </c>
      <c r="L34" s="61">
        <f t="shared" si="0"/>
        <v>5.9615384615384617E-3</v>
      </c>
      <c r="M34" s="62">
        <f>prodnorm21</f>
        <v>0</v>
      </c>
      <c r="N34" s="59" t="s">
        <v>34</v>
      </c>
      <c r="O34" s="63">
        <f>uurtarief21</f>
        <v>0</v>
      </c>
      <c r="P34" s="61" t="e">
        <f t="shared" si="1"/>
        <v>#DIV/0!</v>
      </c>
      <c r="Q34" s="63" t="e">
        <f t="shared" si="2"/>
        <v>#DIV/0!</v>
      </c>
      <c r="R34" s="61" t="e">
        <f t="shared" si="3"/>
        <v>#DIV/0!</v>
      </c>
      <c r="S34" s="64" t="e">
        <f t="shared" si="4"/>
        <v>#DIV/0!</v>
      </c>
    </row>
    <row r="35" spans="1:19" x14ac:dyDescent="0.2">
      <c r="A35" s="58" t="s">
        <v>169</v>
      </c>
      <c r="B35" s="59" t="s">
        <v>170</v>
      </c>
      <c r="C35" s="59" t="s">
        <v>171</v>
      </c>
      <c r="D35" s="59" t="s">
        <v>228</v>
      </c>
      <c r="E35" s="60" t="s">
        <v>229</v>
      </c>
      <c r="F35" s="59" t="s">
        <v>177</v>
      </c>
      <c r="G35" s="59" t="s">
        <v>119</v>
      </c>
      <c r="H35" s="59" t="s">
        <v>9</v>
      </c>
      <c r="I35" s="59" t="s">
        <v>107</v>
      </c>
      <c r="J35" s="59"/>
      <c r="K35" s="61">
        <v>28.1</v>
      </c>
      <c r="L35" s="61">
        <f t="shared" si="0"/>
        <v>28.1</v>
      </c>
      <c r="M35" s="62">
        <f>prodnorm12</f>
        <v>0</v>
      </c>
      <c r="N35" s="59" t="s">
        <v>34</v>
      </c>
      <c r="O35" s="63">
        <f>uurtarief12</f>
        <v>0</v>
      </c>
      <c r="P35" s="61" t="e">
        <f t="shared" si="1"/>
        <v>#DIV/0!</v>
      </c>
      <c r="Q35" s="63" t="e">
        <f t="shared" si="2"/>
        <v>#DIV/0!</v>
      </c>
      <c r="R35" s="61" t="e">
        <f t="shared" si="3"/>
        <v>#DIV/0!</v>
      </c>
      <c r="S35" s="64" t="e">
        <f t="shared" si="4"/>
        <v>#DIV/0!</v>
      </c>
    </row>
    <row r="36" spans="1:19" x14ac:dyDescent="0.2">
      <c r="A36" s="58" t="s">
        <v>169</v>
      </c>
      <c r="B36" s="59" t="s">
        <v>170</v>
      </c>
      <c r="C36" s="59" t="s">
        <v>171</v>
      </c>
      <c r="D36" s="59" t="s">
        <v>230</v>
      </c>
      <c r="E36" s="60" t="s">
        <v>231</v>
      </c>
      <c r="F36" s="59" t="s">
        <v>177</v>
      </c>
      <c r="G36" s="59" t="s">
        <v>119</v>
      </c>
      <c r="H36" s="59" t="s">
        <v>9</v>
      </c>
      <c r="I36" s="59" t="s">
        <v>107</v>
      </c>
      <c r="J36" s="59"/>
      <c r="K36" s="61">
        <v>15.16</v>
      </c>
      <c r="L36" s="61">
        <f t="shared" si="0"/>
        <v>15.16</v>
      </c>
      <c r="M36" s="62">
        <f>prodnorm12</f>
        <v>0</v>
      </c>
      <c r="N36" s="59" t="s">
        <v>34</v>
      </c>
      <c r="O36" s="63">
        <f>uurtarief12</f>
        <v>0</v>
      </c>
      <c r="P36" s="61" t="e">
        <f t="shared" si="1"/>
        <v>#DIV/0!</v>
      </c>
      <c r="Q36" s="63" t="e">
        <f t="shared" si="2"/>
        <v>#DIV/0!</v>
      </c>
      <c r="R36" s="61" t="e">
        <f t="shared" si="3"/>
        <v>#DIV/0!</v>
      </c>
      <c r="S36" s="64" t="e">
        <f t="shared" si="4"/>
        <v>#DIV/0!</v>
      </c>
    </row>
    <row r="37" spans="1:19" x14ac:dyDescent="0.2">
      <c r="A37" s="58" t="s">
        <v>169</v>
      </c>
      <c r="B37" s="59" t="s">
        <v>170</v>
      </c>
      <c r="C37" s="59" t="s">
        <v>171</v>
      </c>
      <c r="D37" s="59" t="s">
        <v>232</v>
      </c>
      <c r="E37" s="60" t="s">
        <v>233</v>
      </c>
      <c r="F37" s="59" t="s">
        <v>177</v>
      </c>
      <c r="G37" s="59" t="s">
        <v>119</v>
      </c>
      <c r="H37" s="59" t="s">
        <v>9</v>
      </c>
      <c r="I37" s="59" t="s">
        <v>107</v>
      </c>
      <c r="J37" s="59"/>
      <c r="K37" s="61">
        <v>17.630000000000003</v>
      </c>
      <c r="L37" s="61">
        <f t="shared" ref="L37:L68" si="7">K37*VLOOKUP(H37,dagsoorttabel1,2,FALSE)</f>
        <v>17.630000000000003</v>
      </c>
      <c r="M37" s="62">
        <f>prodnorm12</f>
        <v>0</v>
      </c>
      <c r="N37" s="59" t="s">
        <v>34</v>
      </c>
      <c r="O37" s="63">
        <f>uurtarief12</f>
        <v>0</v>
      </c>
      <c r="P37" s="61" t="e">
        <f t="shared" ref="P37:P68" si="8">IF(ISBLANK(M37),0,L37/ROUND(M37,4))</f>
        <v>#DIV/0!</v>
      </c>
      <c r="Q37" s="63" t="e">
        <f t="shared" ref="Q37:Q68" si="9">ROUND(O37,2)*P37</f>
        <v>#DIV/0!</v>
      </c>
      <c r="R37" s="61" t="e">
        <f t="shared" ref="R37:R68" si="10">P37*dagenperjaar1</f>
        <v>#DIV/0!</v>
      </c>
      <c r="S37" s="64" t="e">
        <f t="shared" ref="S37:S68" si="11">R37*ROUND(O37,2)</f>
        <v>#DIV/0!</v>
      </c>
    </row>
    <row r="38" spans="1:19" x14ac:dyDescent="0.2">
      <c r="A38" s="58" t="s">
        <v>169</v>
      </c>
      <c r="B38" s="59" t="s">
        <v>170</v>
      </c>
      <c r="C38" s="59" t="s">
        <v>171</v>
      </c>
      <c r="D38" s="59" t="s">
        <v>234</v>
      </c>
      <c r="E38" s="60" t="s">
        <v>235</v>
      </c>
      <c r="F38" s="59" t="s">
        <v>177</v>
      </c>
      <c r="G38" s="59" t="s">
        <v>119</v>
      </c>
      <c r="H38" s="59" t="s">
        <v>9</v>
      </c>
      <c r="I38" s="59" t="s">
        <v>107</v>
      </c>
      <c r="J38" s="59"/>
      <c r="K38" s="61">
        <v>59.75</v>
      </c>
      <c r="L38" s="61">
        <f t="shared" si="7"/>
        <v>59.75</v>
      </c>
      <c r="M38" s="62">
        <f>prodnorm12</f>
        <v>0</v>
      </c>
      <c r="N38" s="59" t="s">
        <v>34</v>
      </c>
      <c r="O38" s="63">
        <f>uurtarief12</f>
        <v>0</v>
      </c>
      <c r="P38" s="61" t="e">
        <f t="shared" si="8"/>
        <v>#DIV/0!</v>
      </c>
      <c r="Q38" s="63" t="e">
        <f t="shared" si="9"/>
        <v>#DIV/0!</v>
      </c>
      <c r="R38" s="61" t="e">
        <f t="shared" si="10"/>
        <v>#DIV/0!</v>
      </c>
      <c r="S38" s="64" t="e">
        <f t="shared" si="11"/>
        <v>#DIV/0!</v>
      </c>
    </row>
    <row r="39" spans="1:19" x14ac:dyDescent="0.2">
      <c r="A39" s="58" t="s">
        <v>169</v>
      </c>
      <c r="B39" s="59" t="s">
        <v>170</v>
      </c>
      <c r="C39" s="59" t="s">
        <v>171</v>
      </c>
      <c r="D39" s="59" t="s">
        <v>236</v>
      </c>
      <c r="E39" s="60" t="s">
        <v>237</v>
      </c>
      <c r="F39" s="59" t="s">
        <v>195</v>
      </c>
      <c r="G39" s="59" t="s">
        <v>109</v>
      </c>
      <c r="H39" s="59" t="s">
        <v>9</v>
      </c>
      <c r="I39" s="59" t="s">
        <v>107</v>
      </c>
      <c r="J39" s="59"/>
      <c r="K39" s="61">
        <v>15.450000000000001</v>
      </c>
      <c r="L39" s="61">
        <f t="shared" si="7"/>
        <v>15.450000000000001</v>
      </c>
      <c r="M39" s="62">
        <f>prodnorm7</f>
        <v>0</v>
      </c>
      <c r="N39" s="59" t="s">
        <v>34</v>
      </c>
      <c r="O39" s="63">
        <f>uurtarief7</f>
        <v>0</v>
      </c>
      <c r="P39" s="61" t="e">
        <f t="shared" si="8"/>
        <v>#DIV/0!</v>
      </c>
      <c r="Q39" s="63" t="e">
        <f t="shared" si="9"/>
        <v>#DIV/0!</v>
      </c>
      <c r="R39" s="61" t="e">
        <f t="shared" si="10"/>
        <v>#DIV/0!</v>
      </c>
      <c r="S39" s="64" t="e">
        <f t="shared" si="11"/>
        <v>#DIV/0!</v>
      </c>
    </row>
    <row r="40" spans="1:19" x14ac:dyDescent="0.2">
      <c r="A40" s="58" t="s">
        <v>169</v>
      </c>
      <c r="B40" s="59" t="s">
        <v>170</v>
      </c>
      <c r="C40" s="59" t="s">
        <v>171</v>
      </c>
      <c r="D40" s="59" t="s">
        <v>238</v>
      </c>
      <c r="E40" s="60" t="s">
        <v>239</v>
      </c>
      <c r="F40" s="59" t="s">
        <v>177</v>
      </c>
      <c r="G40" s="59" t="s">
        <v>119</v>
      </c>
      <c r="H40" s="59" t="s">
        <v>9</v>
      </c>
      <c r="I40" s="59" t="s">
        <v>107</v>
      </c>
      <c r="J40" s="59"/>
      <c r="K40" s="61">
        <v>24.36</v>
      </c>
      <c r="L40" s="61">
        <f t="shared" si="7"/>
        <v>24.36</v>
      </c>
      <c r="M40" s="62">
        <f t="shared" ref="M40:M46" si="12">prodnorm12</f>
        <v>0</v>
      </c>
      <c r="N40" s="59" t="s">
        <v>34</v>
      </c>
      <c r="O40" s="63">
        <f t="shared" ref="O40:O46" si="13">uurtarief12</f>
        <v>0</v>
      </c>
      <c r="P40" s="61" t="e">
        <f t="shared" si="8"/>
        <v>#DIV/0!</v>
      </c>
      <c r="Q40" s="63" t="e">
        <f t="shared" si="9"/>
        <v>#DIV/0!</v>
      </c>
      <c r="R40" s="61" t="e">
        <f t="shared" si="10"/>
        <v>#DIV/0!</v>
      </c>
      <c r="S40" s="64" t="e">
        <f t="shared" si="11"/>
        <v>#DIV/0!</v>
      </c>
    </row>
    <row r="41" spans="1:19" x14ac:dyDescent="0.2">
      <c r="A41" s="58" t="s">
        <v>169</v>
      </c>
      <c r="B41" s="59" t="s">
        <v>170</v>
      </c>
      <c r="C41" s="59" t="s">
        <v>171</v>
      </c>
      <c r="D41" s="59" t="s">
        <v>240</v>
      </c>
      <c r="E41" s="60" t="s">
        <v>241</v>
      </c>
      <c r="F41" s="59" t="s">
        <v>177</v>
      </c>
      <c r="G41" s="59" t="s">
        <v>119</v>
      </c>
      <c r="H41" s="59" t="s">
        <v>9</v>
      </c>
      <c r="I41" s="59" t="s">
        <v>107</v>
      </c>
      <c r="J41" s="59"/>
      <c r="K41" s="61">
        <v>26.73</v>
      </c>
      <c r="L41" s="61">
        <f t="shared" si="7"/>
        <v>26.73</v>
      </c>
      <c r="M41" s="62">
        <f t="shared" si="12"/>
        <v>0</v>
      </c>
      <c r="N41" s="59" t="s">
        <v>34</v>
      </c>
      <c r="O41" s="63">
        <f t="shared" si="13"/>
        <v>0</v>
      </c>
      <c r="P41" s="61" t="e">
        <f t="shared" si="8"/>
        <v>#DIV/0!</v>
      </c>
      <c r="Q41" s="63" t="e">
        <f t="shared" si="9"/>
        <v>#DIV/0!</v>
      </c>
      <c r="R41" s="61" t="e">
        <f t="shared" si="10"/>
        <v>#DIV/0!</v>
      </c>
      <c r="S41" s="64" t="e">
        <f t="shared" si="11"/>
        <v>#DIV/0!</v>
      </c>
    </row>
    <row r="42" spans="1:19" x14ac:dyDescent="0.2">
      <c r="A42" s="58" t="s">
        <v>169</v>
      </c>
      <c r="B42" s="59" t="s">
        <v>170</v>
      </c>
      <c r="C42" s="59" t="s">
        <v>171</v>
      </c>
      <c r="D42" s="59" t="s">
        <v>242</v>
      </c>
      <c r="E42" s="60" t="s">
        <v>243</v>
      </c>
      <c r="F42" s="59" t="s">
        <v>177</v>
      </c>
      <c r="G42" s="59" t="s">
        <v>119</v>
      </c>
      <c r="H42" s="59" t="s">
        <v>9</v>
      </c>
      <c r="I42" s="59" t="s">
        <v>107</v>
      </c>
      <c r="J42" s="59"/>
      <c r="K42" s="61">
        <v>25.919999999999998</v>
      </c>
      <c r="L42" s="61">
        <f t="shared" si="7"/>
        <v>25.919999999999998</v>
      </c>
      <c r="M42" s="62">
        <f t="shared" si="12"/>
        <v>0</v>
      </c>
      <c r="N42" s="59" t="s">
        <v>34</v>
      </c>
      <c r="O42" s="63">
        <f t="shared" si="13"/>
        <v>0</v>
      </c>
      <c r="P42" s="61" t="e">
        <f t="shared" si="8"/>
        <v>#DIV/0!</v>
      </c>
      <c r="Q42" s="63" t="e">
        <f t="shared" si="9"/>
        <v>#DIV/0!</v>
      </c>
      <c r="R42" s="61" t="e">
        <f t="shared" si="10"/>
        <v>#DIV/0!</v>
      </c>
      <c r="S42" s="64" t="e">
        <f t="shared" si="11"/>
        <v>#DIV/0!</v>
      </c>
    </row>
    <row r="43" spans="1:19" x14ac:dyDescent="0.2">
      <c r="A43" s="58" t="s">
        <v>169</v>
      </c>
      <c r="B43" s="59" t="s">
        <v>170</v>
      </c>
      <c r="C43" s="59" t="s">
        <v>171</v>
      </c>
      <c r="D43" s="59" t="s">
        <v>244</v>
      </c>
      <c r="E43" s="60" t="s">
        <v>245</v>
      </c>
      <c r="F43" s="59" t="s">
        <v>177</v>
      </c>
      <c r="G43" s="59" t="s">
        <v>119</v>
      </c>
      <c r="H43" s="59" t="s">
        <v>9</v>
      </c>
      <c r="I43" s="59" t="s">
        <v>107</v>
      </c>
      <c r="J43" s="59"/>
      <c r="K43" s="61">
        <v>35</v>
      </c>
      <c r="L43" s="61">
        <f t="shared" si="7"/>
        <v>35</v>
      </c>
      <c r="M43" s="62">
        <f t="shared" si="12"/>
        <v>0</v>
      </c>
      <c r="N43" s="59" t="s">
        <v>34</v>
      </c>
      <c r="O43" s="63">
        <f t="shared" si="13"/>
        <v>0</v>
      </c>
      <c r="P43" s="61" t="e">
        <f t="shared" si="8"/>
        <v>#DIV/0!</v>
      </c>
      <c r="Q43" s="63" t="e">
        <f t="shared" si="9"/>
        <v>#DIV/0!</v>
      </c>
      <c r="R43" s="61" t="e">
        <f t="shared" si="10"/>
        <v>#DIV/0!</v>
      </c>
      <c r="S43" s="64" t="e">
        <f t="shared" si="11"/>
        <v>#DIV/0!</v>
      </c>
    </row>
    <row r="44" spans="1:19" x14ac:dyDescent="0.2">
      <c r="A44" s="58" t="s">
        <v>169</v>
      </c>
      <c r="B44" s="59" t="s">
        <v>170</v>
      </c>
      <c r="C44" s="59" t="s">
        <v>171</v>
      </c>
      <c r="D44" s="59" t="s">
        <v>246</v>
      </c>
      <c r="E44" s="60" t="s">
        <v>247</v>
      </c>
      <c r="F44" s="59" t="s">
        <v>177</v>
      </c>
      <c r="G44" s="59" t="s">
        <v>119</v>
      </c>
      <c r="H44" s="59" t="s">
        <v>9</v>
      </c>
      <c r="I44" s="59" t="s">
        <v>107</v>
      </c>
      <c r="J44" s="59"/>
      <c r="K44" s="61">
        <v>11.32</v>
      </c>
      <c r="L44" s="61">
        <f t="shared" si="7"/>
        <v>11.32</v>
      </c>
      <c r="M44" s="62">
        <f t="shared" si="12"/>
        <v>0</v>
      </c>
      <c r="N44" s="59" t="s">
        <v>34</v>
      </c>
      <c r="O44" s="63">
        <f t="shared" si="13"/>
        <v>0</v>
      </c>
      <c r="P44" s="61" t="e">
        <f t="shared" si="8"/>
        <v>#DIV/0!</v>
      </c>
      <c r="Q44" s="63" t="e">
        <f t="shared" si="9"/>
        <v>#DIV/0!</v>
      </c>
      <c r="R44" s="61" t="e">
        <f t="shared" si="10"/>
        <v>#DIV/0!</v>
      </c>
      <c r="S44" s="64" t="e">
        <f t="shared" si="11"/>
        <v>#DIV/0!</v>
      </c>
    </row>
    <row r="45" spans="1:19" x14ac:dyDescent="0.2">
      <c r="A45" s="58" t="s">
        <v>169</v>
      </c>
      <c r="B45" s="59" t="s">
        <v>170</v>
      </c>
      <c r="C45" s="59" t="s">
        <v>171</v>
      </c>
      <c r="D45" s="59" t="s">
        <v>248</v>
      </c>
      <c r="E45" s="60" t="s">
        <v>249</v>
      </c>
      <c r="F45" s="59" t="s">
        <v>177</v>
      </c>
      <c r="G45" s="59" t="s">
        <v>119</v>
      </c>
      <c r="H45" s="59" t="s">
        <v>9</v>
      </c>
      <c r="I45" s="59" t="s">
        <v>107</v>
      </c>
      <c r="J45" s="59"/>
      <c r="K45" s="61">
        <v>54.2</v>
      </c>
      <c r="L45" s="61">
        <f t="shared" si="7"/>
        <v>54.2</v>
      </c>
      <c r="M45" s="62">
        <f t="shared" si="12"/>
        <v>0</v>
      </c>
      <c r="N45" s="59" t="s">
        <v>34</v>
      </c>
      <c r="O45" s="63">
        <f t="shared" si="13"/>
        <v>0</v>
      </c>
      <c r="P45" s="61" t="e">
        <f t="shared" si="8"/>
        <v>#DIV/0!</v>
      </c>
      <c r="Q45" s="63" t="e">
        <f t="shared" si="9"/>
        <v>#DIV/0!</v>
      </c>
      <c r="R45" s="61" t="e">
        <f t="shared" si="10"/>
        <v>#DIV/0!</v>
      </c>
      <c r="S45" s="64" t="e">
        <f t="shared" si="11"/>
        <v>#DIV/0!</v>
      </c>
    </row>
    <row r="46" spans="1:19" x14ac:dyDescent="0.2">
      <c r="A46" s="58" t="s">
        <v>169</v>
      </c>
      <c r="B46" s="59" t="s">
        <v>170</v>
      </c>
      <c r="C46" s="59" t="s">
        <v>171</v>
      </c>
      <c r="D46" s="59" t="s">
        <v>250</v>
      </c>
      <c r="E46" s="60" t="s">
        <v>249</v>
      </c>
      <c r="F46" s="59" t="s">
        <v>177</v>
      </c>
      <c r="G46" s="59" t="s">
        <v>119</v>
      </c>
      <c r="H46" s="59" t="s">
        <v>9</v>
      </c>
      <c r="I46" s="59" t="s">
        <v>107</v>
      </c>
      <c r="J46" s="59"/>
      <c r="K46" s="61">
        <v>44.96</v>
      </c>
      <c r="L46" s="61">
        <f t="shared" si="7"/>
        <v>44.96</v>
      </c>
      <c r="M46" s="62">
        <f t="shared" si="12"/>
        <v>0</v>
      </c>
      <c r="N46" s="59" t="s">
        <v>34</v>
      </c>
      <c r="O46" s="63">
        <f t="shared" si="13"/>
        <v>0</v>
      </c>
      <c r="P46" s="61" t="e">
        <f t="shared" si="8"/>
        <v>#DIV/0!</v>
      </c>
      <c r="Q46" s="63" t="e">
        <f t="shared" si="9"/>
        <v>#DIV/0!</v>
      </c>
      <c r="R46" s="61" t="e">
        <f t="shared" si="10"/>
        <v>#DIV/0!</v>
      </c>
      <c r="S46" s="64" t="e">
        <f t="shared" si="11"/>
        <v>#DIV/0!</v>
      </c>
    </row>
    <row r="47" spans="1:19" x14ac:dyDescent="0.2">
      <c r="A47" s="58" t="s">
        <v>169</v>
      </c>
      <c r="B47" s="59" t="s">
        <v>170</v>
      </c>
      <c r="C47" s="59" t="s">
        <v>171</v>
      </c>
      <c r="D47" s="59" t="s">
        <v>251</v>
      </c>
      <c r="E47" s="60" t="s">
        <v>252</v>
      </c>
      <c r="F47" s="59" t="s">
        <v>253</v>
      </c>
      <c r="G47" s="59" t="s">
        <v>129</v>
      </c>
      <c r="H47" s="59" t="s">
        <v>9</v>
      </c>
      <c r="I47" s="59" t="s">
        <v>107</v>
      </c>
      <c r="J47" s="59"/>
      <c r="K47" s="61">
        <v>6</v>
      </c>
      <c r="L47" s="61">
        <f t="shared" si="7"/>
        <v>6</v>
      </c>
      <c r="M47" s="62">
        <f>prodnorm17</f>
        <v>0</v>
      </c>
      <c r="N47" s="59" t="s">
        <v>34</v>
      </c>
      <c r="O47" s="63">
        <f>uurtarief17</f>
        <v>0</v>
      </c>
      <c r="P47" s="61" t="e">
        <f t="shared" si="8"/>
        <v>#DIV/0!</v>
      </c>
      <c r="Q47" s="63" t="e">
        <f t="shared" si="9"/>
        <v>#DIV/0!</v>
      </c>
      <c r="R47" s="61" t="e">
        <f t="shared" si="10"/>
        <v>#DIV/0!</v>
      </c>
      <c r="S47" s="64" t="e">
        <f t="shared" si="11"/>
        <v>#DIV/0!</v>
      </c>
    </row>
    <row r="48" spans="1:19" x14ac:dyDescent="0.2">
      <c r="A48" s="58" t="s">
        <v>169</v>
      </c>
      <c r="B48" s="59" t="s">
        <v>170</v>
      </c>
      <c r="C48" s="59" t="s">
        <v>171</v>
      </c>
      <c r="D48" s="59" t="s">
        <v>254</v>
      </c>
      <c r="E48" s="60" t="s">
        <v>255</v>
      </c>
      <c r="F48" s="59" t="s">
        <v>177</v>
      </c>
      <c r="G48" s="59" t="s">
        <v>119</v>
      </c>
      <c r="H48" s="59" t="s">
        <v>9</v>
      </c>
      <c r="I48" s="59" t="s">
        <v>107</v>
      </c>
      <c r="J48" s="59"/>
      <c r="K48" s="61">
        <v>59.52</v>
      </c>
      <c r="L48" s="61">
        <f t="shared" si="7"/>
        <v>59.52</v>
      </c>
      <c r="M48" s="62">
        <f>prodnorm12</f>
        <v>0</v>
      </c>
      <c r="N48" s="59" t="s">
        <v>34</v>
      </c>
      <c r="O48" s="63">
        <f>uurtarief12</f>
        <v>0</v>
      </c>
      <c r="P48" s="61" t="e">
        <f t="shared" si="8"/>
        <v>#DIV/0!</v>
      </c>
      <c r="Q48" s="63" t="e">
        <f t="shared" si="9"/>
        <v>#DIV/0!</v>
      </c>
      <c r="R48" s="61" t="e">
        <f t="shared" si="10"/>
        <v>#DIV/0!</v>
      </c>
      <c r="S48" s="64" t="e">
        <f t="shared" si="11"/>
        <v>#DIV/0!</v>
      </c>
    </row>
    <row r="49" spans="1:19" x14ac:dyDescent="0.2">
      <c r="A49" s="58" t="s">
        <v>169</v>
      </c>
      <c r="B49" s="59" t="s">
        <v>170</v>
      </c>
      <c r="C49" s="59" t="s">
        <v>171</v>
      </c>
      <c r="D49" s="59" t="s">
        <v>256</v>
      </c>
      <c r="E49" s="60" t="s">
        <v>257</v>
      </c>
      <c r="F49" s="59" t="s">
        <v>195</v>
      </c>
      <c r="G49" s="59" t="s">
        <v>109</v>
      </c>
      <c r="H49" s="59" t="s">
        <v>9</v>
      </c>
      <c r="I49" s="59" t="s">
        <v>107</v>
      </c>
      <c r="J49" s="59"/>
      <c r="K49" s="61">
        <v>13.54</v>
      </c>
      <c r="L49" s="61">
        <f t="shared" si="7"/>
        <v>13.54</v>
      </c>
      <c r="M49" s="62">
        <f>prodnorm7</f>
        <v>0</v>
      </c>
      <c r="N49" s="59" t="s">
        <v>34</v>
      </c>
      <c r="O49" s="63">
        <f>uurtarief7</f>
        <v>0</v>
      </c>
      <c r="P49" s="61" t="e">
        <f t="shared" si="8"/>
        <v>#DIV/0!</v>
      </c>
      <c r="Q49" s="63" t="e">
        <f t="shared" si="9"/>
        <v>#DIV/0!</v>
      </c>
      <c r="R49" s="61" t="e">
        <f t="shared" si="10"/>
        <v>#DIV/0!</v>
      </c>
      <c r="S49" s="64" t="e">
        <f t="shared" si="11"/>
        <v>#DIV/0!</v>
      </c>
    </row>
    <row r="50" spans="1:19" x14ac:dyDescent="0.2">
      <c r="A50" s="58" t="s">
        <v>169</v>
      </c>
      <c r="B50" s="59" t="s">
        <v>170</v>
      </c>
      <c r="C50" s="59" t="s">
        <v>171</v>
      </c>
      <c r="D50" s="59" t="s">
        <v>258</v>
      </c>
      <c r="E50" s="60" t="s">
        <v>259</v>
      </c>
      <c r="F50" s="59" t="s">
        <v>177</v>
      </c>
      <c r="G50" s="59" t="s">
        <v>119</v>
      </c>
      <c r="H50" s="59" t="s">
        <v>9</v>
      </c>
      <c r="I50" s="59" t="s">
        <v>107</v>
      </c>
      <c r="J50" s="59"/>
      <c r="K50" s="61">
        <v>28.35</v>
      </c>
      <c r="L50" s="61">
        <f t="shared" si="7"/>
        <v>28.35</v>
      </c>
      <c r="M50" s="62">
        <f>prodnorm12</f>
        <v>0</v>
      </c>
      <c r="N50" s="59" t="s">
        <v>34</v>
      </c>
      <c r="O50" s="63">
        <f>uurtarief12</f>
        <v>0</v>
      </c>
      <c r="P50" s="61" t="e">
        <f t="shared" si="8"/>
        <v>#DIV/0!</v>
      </c>
      <c r="Q50" s="63" t="e">
        <f t="shared" si="9"/>
        <v>#DIV/0!</v>
      </c>
      <c r="R50" s="61" t="e">
        <f t="shared" si="10"/>
        <v>#DIV/0!</v>
      </c>
      <c r="S50" s="64" t="e">
        <f t="shared" si="11"/>
        <v>#DIV/0!</v>
      </c>
    </row>
    <row r="51" spans="1:19" x14ac:dyDescent="0.2">
      <c r="A51" s="58" t="s">
        <v>169</v>
      </c>
      <c r="B51" s="59" t="s">
        <v>170</v>
      </c>
      <c r="C51" s="59" t="s">
        <v>171</v>
      </c>
      <c r="D51" s="59" t="s">
        <v>260</v>
      </c>
      <c r="E51" s="60" t="s">
        <v>261</v>
      </c>
      <c r="F51" s="59" t="s">
        <v>177</v>
      </c>
      <c r="G51" s="59" t="s">
        <v>119</v>
      </c>
      <c r="H51" s="59" t="s">
        <v>9</v>
      </c>
      <c r="I51" s="59" t="s">
        <v>107</v>
      </c>
      <c r="J51" s="59"/>
      <c r="K51" s="61">
        <v>18.959999999999997</v>
      </c>
      <c r="L51" s="61">
        <f t="shared" si="7"/>
        <v>18.959999999999997</v>
      </c>
      <c r="M51" s="62">
        <f>prodnorm12</f>
        <v>0</v>
      </c>
      <c r="N51" s="59" t="s">
        <v>34</v>
      </c>
      <c r="O51" s="63">
        <f>uurtarief12</f>
        <v>0</v>
      </c>
      <c r="P51" s="61" t="e">
        <f t="shared" si="8"/>
        <v>#DIV/0!</v>
      </c>
      <c r="Q51" s="63" t="e">
        <f t="shared" si="9"/>
        <v>#DIV/0!</v>
      </c>
      <c r="R51" s="61" t="e">
        <f t="shared" si="10"/>
        <v>#DIV/0!</v>
      </c>
      <c r="S51" s="64" t="e">
        <f t="shared" si="11"/>
        <v>#DIV/0!</v>
      </c>
    </row>
    <row r="52" spans="1:19" x14ac:dyDescent="0.2">
      <c r="A52" s="58" t="s">
        <v>169</v>
      </c>
      <c r="B52" s="59" t="s">
        <v>170</v>
      </c>
      <c r="C52" s="59" t="s">
        <v>171</v>
      </c>
      <c r="D52" s="59" t="s">
        <v>262</v>
      </c>
      <c r="E52" s="60" t="s">
        <v>263</v>
      </c>
      <c r="F52" s="59" t="s">
        <v>264</v>
      </c>
      <c r="G52" s="59" t="s">
        <v>113</v>
      </c>
      <c r="H52" s="59" t="s">
        <v>9</v>
      </c>
      <c r="I52" s="59" t="s">
        <v>107</v>
      </c>
      <c r="J52" s="59"/>
      <c r="K52" s="61">
        <v>13.65</v>
      </c>
      <c r="L52" s="61">
        <f t="shared" si="7"/>
        <v>13.65</v>
      </c>
      <c r="M52" s="62">
        <f>prodnorm9</f>
        <v>0</v>
      </c>
      <c r="N52" s="59" t="s">
        <v>34</v>
      </c>
      <c r="O52" s="63">
        <f>uurtarief9</f>
        <v>0</v>
      </c>
      <c r="P52" s="61" t="e">
        <f t="shared" si="8"/>
        <v>#DIV/0!</v>
      </c>
      <c r="Q52" s="63" t="e">
        <f t="shared" si="9"/>
        <v>#DIV/0!</v>
      </c>
      <c r="R52" s="61" t="e">
        <f t="shared" si="10"/>
        <v>#DIV/0!</v>
      </c>
      <c r="S52" s="64" t="e">
        <f t="shared" si="11"/>
        <v>#DIV/0!</v>
      </c>
    </row>
    <row r="53" spans="1:19" x14ac:dyDescent="0.2">
      <c r="A53" s="58" t="s">
        <v>169</v>
      </c>
      <c r="B53" s="59" t="s">
        <v>170</v>
      </c>
      <c r="C53" s="59" t="s">
        <v>171</v>
      </c>
      <c r="D53" s="59" t="s">
        <v>265</v>
      </c>
      <c r="E53" s="60" t="s">
        <v>266</v>
      </c>
      <c r="F53" s="59" t="s">
        <v>267</v>
      </c>
      <c r="G53" s="59" t="s">
        <v>121</v>
      </c>
      <c r="H53" s="59" t="s">
        <v>9</v>
      </c>
      <c r="I53" s="59" t="s">
        <v>107</v>
      </c>
      <c r="J53" s="59"/>
      <c r="K53" s="61">
        <v>4</v>
      </c>
      <c r="L53" s="61">
        <f t="shared" si="7"/>
        <v>4</v>
      </c>
      <c r="M53" s="62">
        <f>prodnorm13</f>
        <v>0</v>
      </c>
      <c r="N53" s="59" t="s">
        <v>34</v>
      </c>
      <c r="O53" s="63">
        <f>uurtarief13</f>
        <v>0</v>
      </c>
      <c r="P53" s="61" t="e">
        <f t="shared" si="8"/>
        <v>#DIV/0!</v>
      </c>
      <c r="Q53" s="63" t="e">
        <f t="shared" si="9"/>
        <v>#DIV/0!</v>
      </c>
      <c r="R53" s="61" t="e">
        <f t="shared" si="10"/>
        <v>#DIV/0!</v>
      </c>
      <c r="S53" s="64" t="e">
        <f t="shared" si="11"/>
        <v>#DIV/0!</v>
      </c>
    </row>
    <row r="54" spans="1:19" ht="25.5" x14ac:dyDescent="0.2">
      <c r="A54" s="58" t="s">
        <v>169</v>
      </c>
      <c r="B54" s="59" t="s">
        <v>170</v>
      </c>
      <c r="C54" s="59" t="s">
        <v>171</v>
      </c>
      <c r="D54" s="59" t="s">
        <v>268</v>
      </c>
      <c r="E54" s="60" t="s">
        <v>269</v>
      </c>
      <c r="F54" s="59" t="s">
        <v>177</v>
      </c>
      <c r="G54" s="59" t="s">
        <v>119</v>
      </c>
      <c r="H54" s="59" t="s">
        <v>9</v>
      </c>
      <c r="I54" s="59" t="s">
        <v>107</v>
      </c>
      <c r="J54" s="59"/>
      <c r="K54" s="61">
        <v>86</v>
      </c>
      <c r="L54" s="61">
        <f t="shared" si="7"/>
        <v>86</v>
      </c>
      <c r="M54" s="62">
        <f>prodnorm12</f>
        <v>0</v>
      </c>
      <c r="N54" s="59" t="s">
        <v>34</v>
      </c>
      <c r="O54" s="63">
        <f>uurtarief12</f>
        <v>0</v>
      </c>
      <c r="P54" s="61" t="e">
        <f t="shared" si="8"/>
        <v>#DIV/0!</v>
      </c>
      <c r="Q54" s="63" t="e">
        <f t="shared" si="9"/>
        <v>#DIV/0!</v>
      </c>
      <c r="R54" s="61" t="e">
        <f t="shared" si="10"/>
        <v>#DIV/0!</v>
      </c>
      <c r="S54" s="64" t="e">
        <f t="shared" si="11"/>
        <v>#DIV/0!</v>
      </c>
    </row>
    <row r="55" spans="1:19" x14ac:dyDescent="0.2">
      <c r="A55" s="58" t="s">
        <v>169</v>
      </c>
      <c r="B55" s="59" t="s">
        <v>170</v>
      </c>
      <c r="C55" s="59" t="s">
        <v>171</v>
      </c>
      <c r="D55" s="59" t="s">
        <v>270</v>
      </c>
      <c r="E55" s="60" t="s">
        <v>271</v>
      </c>
      <c r="F55" s="59" t="s">
        <v>195</v>
      </c>
      <c r="G55" s="59" t="s">
        <v>135</v>
      </c>
      <c r="H55" s="59" t="s">
        <v>9</v>
      </c>
      <c r="I55" s="59" t="s">
        <v>107</v>
      </c>
      <c r="J55" s="59"/>
      <c r="K55" s="61">
        <v>29.77</v>
      </c>
      <c r="L55" s="61">
        <f t="shared" si="7"/>
        <v>29.77</v>
      </c>
      <c r="M55" s="62">
        <f>prodnorm20</f>
        <v>0</v>
      </c>
      <c r="N55" s="59" t="s">
        <v>34</v>
      </c>
      <c r="O55" s="63">
        <f>uurtarief20</f>
        <v>0</v>
      </c>
      <c r="P55" s="61" t="e">
        <f t="shared" si="8"/>
        <v>#DIV/0!</v>
      </c>
      <c r="Q55" s="63" t="e">
        <f t="shared" si="9"/>
        <v>#DIV/0!</v>
      </c>
      <c r="R55" s="61" t="e">
        <f t="shared" si="10"/>
        <v>#DIV/0!</v>
      </c>
      <c r="S55" s="64" t="e">
        <f t="shared" si="11"/>
        <v>#DIV/0!</v>
      </c>
    </row>
    <row r="56" spans="1:19" x14ac:dyDescent="0.2">
      <c r="A56" s="58" t="s">
        <v>169</v>
      </c>
      <c r="B56" s="59" t="s">
        <v>170</v>
      </c>
      <c r="C56" s="59" t="s">
        <v>171</v>
      </c>
      <c r="D56" s="59" t="s">
        <v>272</v>
      </c>
      <c r="E56" s="60" t="s">
        <v>273</v>
      </c>
      <c r="F56" s="59" t="s">
        <v>177</v>
      </c>
      <c r="G56" s="59" t="s">
        <v>119</v>
      </c>
      <c r="H56" s="59" t="s">
        <v>9</v>
      </c>
      <c r="I56" s="59" t="s">
        <v>107</v>
      </c>
      <c r="J56" s="59"/>
      <c r="K56" s="61">
        <v>90.54</v>
      </c>
      <c r="L56" s="61">
        <f t="shared" si="7"/>
        <v>90.54</v>
      </c>
      <c r="M56" s="62">
        <f>prodnorm12</f>
        <v>0</v>
      </c>
      <c r="N56" s="59" t="s">
        <v>34</v>
      </c>
      <c r="O56" s="63">
        <f>uurtarief12</f>
        <v>0</v>
      </c>
      <c r="P56" s="61" t="e">
        <f t="shared" si="8"/>
        <v>#DIV/0!</v>
      </c>
      <c r="Q56" s="63" t="e">
        <f t="shared" si="9"/>
        <v>#DIV/0!</v>
      </c>
      <c r="R56" s="61" t="e">
        <f t="shared" si="10"/>
        <v>#DIV/0!</v>
      </c>
      <c r="S56" s="64" t="e">
        <f t="shared" si="11"/>
        <v>#DIV/0!</v>
      </c>
    </row>
    <row r="57" spans="1:19" x14ac:dyDescent="0.2">
      <c r="A57" s="58" t="s">
        <v>169</v>
      </c>
      <c r="B57" s="59" t="s">
        <v>170</v>
      </c>
      <c r="C57" s="59" t="s">
        <v>171</v>
      </c>
      <c r="D57" s="59" t="s">
        <v>274</v>
      </c>
      <c r="E57" s="60" t="s">
        <v>275</v>
      </c>
      <c r="F57" s="59" t="s">
        <v>177</v>
      </c>
      <c r="G57" s="59" t="s">
        <v>119</v>
      </c>
      <c r="H57" s="59" t="s">
        <v>9</v>
      </c>
      <c r="I57" s="59" t="s">
        <v>107</v>
      </c>
      <c r="J57" s="59"/>
      <c r="K57" s="61">
        <v>18.32</v>
      </c>
      <c r="L57" s="61">
        <f t="shared" si="7"/>
        <v>18.32</v>
      </c>
      <c r="M57" s="62">
        <f>prodnorm12</f>
        <v>0</v>
      </c>
      <c r="N57" s="59" t="s">
        <v>34</v>
      </c>
      <c r="O57" s="63">
        <f>uurtarief12</f>
        <v>0</v>
      </c>
      <c r="P57" s="61" t="e">
        <f t="shared" si="8"/>
        <v>#DIV/0!</v>
      </c>
      <c r="Q57" s="63" t="e">
        <f t="shared" si="9"/>
        <v>#DIV/0!</v>
      </c>
      <c r="R57" s="61" t="e">
        <f t="shared" si="10"/>
        <v>#DIV/0!</v>
      </c>
      <c r="S57" s="64" t="e">
        <f t="shared" si="11"/>
        <v>#DIV/0!</v>
      </c>
    </row>
    <row r="58" spans="1:19" x14ac:dyDescent="0.2">
      <c r="A58" s="58" t="s">
        <v>169</v>
      </c>
      <c r="B58" s="59" t="s">
        <v>170</v>
      </c>
      <c r="C58" s="59" t="s">
        <v>171</v>
      </c>
      <c r="D58" s="59" t="s">
        <v>276</v>
      </c>
      <c r="E58" s="60" t="s">
        <v>194</v>
      </c>
      <c r="F58" s="59" t="s">
        <v>227</v>
      </c>
      <c r="G58" s="59" t="s">
        <v>106</v>
      </c>
      <c r="H58" s="59" t="s">
        <v>9</v>
      </c>
      <c r="I58" s="59" t="s">
        <v>107</v>
      </c>
      <c r="J58" s="59"/>
      <c r="K58" s="61">
        <v>20.77</v>
      </c>
      <c r="L58" s="61">
        <f t="shared" si="7"/>
        <v>20.77</v>
      </c>
      <c r="M58" s="62">
        <f>prodnorm6</f>
        <v>0</v>
      </c>
      <c r="N58" s="59" t="s">
        <v>34</v>
      </c>
      <c r="O58" s="63">
        <f>uurtarief6</f>
        <v>0</v>
      </c>
      <c r="P58" s="61" t="e">
        <f t="shared" si="8"/>
        <v>#DIV/0!</v>
      </c>
      <c r="Q58" s="63" t="e">
        <f t="shared" si="9"/>
        <v>#DIV/0!</v>
      </c>
      <c r="R58" s="61" t="e">
        <f t="shared" si="10"/>
        <v>#DIV/0!</v>
      </c>
      <c r="S58" s="64" t="e">
        <f t="shared" si="11"/>
        <v>#DIV/0!</v>
      </c>
    </row>
    <row r="59" spans="1:19" x14ac:dyDescent="0.2">
      <c r="A59" s="58" t="s">
        <v>169</v>
      </c>
      <c r="B59" s="59" t="s">
        <v>170</v>
      </c>
      <c r="C59" s="59" t="s">
        <v>171</v>
      </c>
      <c r="D59" s="59" t="s">
        <v>276</v>
      </c>
      <c r="E59" s="60" t="s">
        <v>194</v>
      </c>
      <c r="F59" s="59" t="s">
        <v>227</v>
      </c>
      <c r="G59" s="59" t="s">
        <v>137</v>
      </c>
      <c r="H59" s="59" t="s">
        <v>21</v>
      </c>
      <c r="I59" s="59" t="s">
        <v>107</v>
      </c>
      <c r="J59" s="59"/>
      <c r="K59" s="61">
        <v>20.77</v>
      </c>
      <c r="L59" s="61">
        <f t="shared" si="7"/>
        <v>7.9884615384615387E-2</v>
      </c>
      <c r="M59" s="62">
        <f>prodnorm21</f>
        <v>0</v>
      </c>
      <c r="N59" s="59" t="s">
        <v>34</v>
      </c>
      <c r="O59" s="63">
        <f>uurtarief21</f>
        <v>0</v>
      </c>
      <c r="P59" s="61" t="e">
        <f t="shared" si="8"/>
        <v>#DIV/0!</v>
      </c>
      <c r="Q59" s="63" t="e">
        <f t="shared" si="9"/>
        <v>#DIV/0!</v>
      </c>
      <c r="R59" s="61" t="e">
        <f t="shared" si="10"/>
        <v>#DIV/0!</v>
      </c>
      <c r="S59" s="64" t="e">
        <f t="shared" si="11"/>
        <v>#DIV/0!</v>
      </c>
    </row>
    <row r="60" spans="1:19" x14ac:dyDescent="0.2">
      <c r="A60" s="58" t="s">
        <v>169</v>
      </c>
      <c r="B60" s="59" t="s">
        <v>170</v>
      </c>
      <c r="C60" s="59" t="s">
        <v>171</v>
      </c>
      <c r="D60" s="59" t="s">
        <v>277</v>
      </c>
      <c r="E60" s="60" t="s">
        <v>278</v>
      </c>
      <c r="F60" s="59" t="s">
        <v>279</v>
      </c>
      <c r="G60" s="59" t="s">
        <v>129</v>
      </c>
      <c r="H60" s="59" t="s">
        <v>9</v>
      </c>
      <c r="I60" s="59" t="s">
        <v>107</v>
      </c>
      <c r="J60" s="59"/>
      <c r="K60" s="61">
        <v>19.18</v>
      </c>
      <c r="L60" s="61">
        <f t="shared" si="7"/>
        <v>19.18</v>
      </c>
      <c r="M60" s="62">
        <f>prodnorm17</f>
        <v>0</v>
      </c>
      <c r="N60" s="59" t="s">
        <v>34</v>
      </c>
      <c r="O60" s="63">
        <f>uurtarief17</f>
        <v>0</v>
      </c>
      <c r="P60" s="61" t="e">
        <f t="shared" si="8"/>
        <v>#DIV/0!</v>
      </c>
      <c r="Q60" s="63" t="e">
        <f t="shared" si="9"/>
        <v>#DIV/0!</v>
      </c>
      <c r="R60" s="61" t="e">
        <f t="shared" si="10"/>
        <v>#DIV/0!</v>
      </c>
      <c r="S60" s="64" t="e">
        <f t="shared" si="11"/>
        <v>#DIV/0!</v>
      </c>
    </row>
    <row r="61" spans="1:19" x14ac:dyDescent="0.2">
      <c r="A61" s="58" t="s">
        <v>169</v>
      </c>
      <c r="B61" s="59" t="s">
        <v>170</v>
      </c>
      <c r="C61" s="59" t="s">
        <v>280</v>
      </c>
      <c r="D61" s="59" t="s">
        <v>281</v>
      </c>
      <c r="E61" s="60" t="s">
        <v>282</v>
      </c>
      <c r="F61" s="59" t="s">
        <v>227</v>
      </c>
      <c r="G61" s="59" t="s">
        <v>131</v>
      </c>
      <c r="H61" s="59" t="s">
        <v>9</v>
      </c>
      <c r="I61" s="59" t="s">
        <v>107</v>
      </c>
      <c r="J61" s="59"/>
      <c r="K61" s="61">
        <v>10.3</v>
      </c>
      <c r="L61" s="61">
        <f t="shared" si="7"/>
        <v>10.3</v>
      </c>
      <c r="M61" s="62">
        <f>prodnorm18</f>
        <v>0</v>
      </c>
      <c r="N61" s="59" t="s">
        <v>34</v>
      </c>
      <c r="O61" s="63">
        <f>uurtarief18</f>
        <v>0</v>
      </c>
      <c r="P61" s="61" t="e">
        <f t="shared" si="8"/>
        <v>#DIV/0!</v>
      </c>
      <c r="Q61" s="63" t="e">
        <f t="shared" si="9"/>
        <v>#DIV/0!</v>
      </c>
      <c r="R61" s="61" t="e">
        <f t="shared" si="10"/>
        <v>#DIV/0!</v>
      </c>
      <c r="S61" s="64" t="e">
        <f t="shared" si="11"/>
        <v>#DIV/0!</v>
      </c>
    </row>
    <row r="62" spans="1:19" x14ac:dyDescent="0.2">
      <c r="A62" s="58" t="s">
        <v>169</v>
      </c>
      <c r="B62" s="59" t="s">
        <v>170</v>
      </c>
      <c r="C62" s="59" t="s">
        <v>280</v>
      </c>
      <c r="D62" s="59" t="s">
        <v>281</v>
      </c>
      <c r="E62" s="60" t="s">
        <v>282</v>
      </c>
      <c r="F62" s="59" t="s">
        <v>227</v>
      </c>
      <c r="G62" s="59" t="s">
        <v>137</v>
      </c>
      <c r="H62" s="59" t="s">
        <v>21</v>
      </c>
      <c r="I62" s="59" t="s">
        <v>107</v>
      </c>
      <c r="J62" s="59"/>
      <c r="K62" s="61">
        <v>10.3</v>
      </c>
      <c r="L62" s="61">
        <f t="shared" si="7"/>
        <v>3.9615384615384622E-2</v>
      </c>
      <c r="M62" s="62">
        <f>prodnorm21</f>
        <v>0</v>
      </c>
      <c r="N62" s="59" t="s">
        <v>34</v>
      </c>
      <c r="O62" s="63">
        <f>uurtarief21</f>
        <v>0</v>
      </c>
      <c r="P62" s="61" t="e">
        <f t="shared" si="8"/>
        <v>#DIV/0!</v>
      </c>
      <c r="Q62" s="63" t="e">
        <f t="shared" si="9"/>
        <v>#DIV/0!</v>
      </c>
      <c r="R62" s="61" t="e">
        <f t="shared" si="10"/>
        <v>#DIV/0!</v>
      </c>
      <c r="S62" s="64" t="e">
        <f t="shared" si="11"/>
        <v>#DIV/0!</v>
      </c>
    </row>
    <row r="63" spans="1:19" x14ac:dyDescent="0.2">
      <c r="A63" s="58" t="s">
        <v>169</v>
      </c>
      <c r="B63" s="59" t="s">
        <v>170</v>
      </c>
      <c r="C63" s="59" t="s">
        <v>280</v>
      </c>
      <c r="D63" s="59" t="s">
        <v>283</v>
      </c>
      <c r="E63" s="60" t="s">
        <v>284</v>
      </c>
      <c r="F63" s="59" t="s">
        <v>227</v>
      </c>
      <c r="G63" s="59" t="s">
        <v>131</v>
      </c>
      <c r="H63" s="59" t="s">
        <v>9</v>
      </c>
      <c r="I63" s="59" t="s">
        <v>107</v>
      </c>
      <c r="J63" s="59"/>
      <c r="K63" s="61">
        <v>11.239999999999998</v>
      </c>
      <c r="L63" s="61">
        <f t="shared" si="7"/>
        <v>11.239999999999998</v>
      </c>
      <c r="M63" s="62">
        <f>prodnorm18</f>
        <v>0</v>
      </c>
      <c r="N63" s="59" t="s">
        <v>34</v>
      </c>
      <c r="O63" s="63">
        <f>uurtarief18</f>
        <v>0</v>
      </c>
      <c r="P63" s="61" t="e">
        <f t="shared" si="8"/>
        <v>#DIV/0!</v>
      </c>
      <c r="Q63" s="63" t="e">
        <f t="shared" si="9"/>
        <v>#DIV/0!</v>
      </c>
      <c r="R63" s="61" t="e">
        <f t="shared" si="10"/>
        <v>#DIV/0!</v>
      </c>
      <c r="S63" s="64" t="e">
        <f t="shared" si="11"/>
        <v>#DIV/0!</v>
      </c>
    </row>
    <row r="64" spans="1:19" x14ac:dyDescent="0.2">
      <c r="A64" s="58" t="s">
        <v>169</v>
      </c>
      <c r="B64" s="59" t="s">
        <v>170</v>
      </c>
      <c r="C64" s="59" t="s">
        <v>280</v>
      </c>
      <c r="D64" s="59" t="s">
        <v>283</v>
      </c>
      <c r="E64" s="60" t="s">
        <v>284</v>
      </c>
      <c r="F64" s="59" t="s">
        <v>227</v>
      </c>
      <c r="G64" s="59" t="s">
        <v>137</v>
      </c>
      <c r="H64" s="59" t="s">
        <v>21</v>
      </c>
      <c r="I64" s="59" t="s">
        <v>107</v>
      </c>
      <c r="J64" s="59"/>
      <c r="K64" s="61">
        <v>11.239999999999998</v>
      </c>
      <c r="L64" s="61">
        <f t="shared" si="7"/>
        <v>4.3230769230769225E-2</v>
      </c>
      <c r="M64" s="62">
        <f>prodnorm21</f>
        <v>0</v>
      </c>
      <c r="N64" s="59" t="s">
        <v>34</v>
      </c>
      <c r="O64" s="63">
        <f>uurtarief21</f>
        <v>0</v>
      </c>
      <c r="P64" s="61" t="e">
        <f t="shared" si="8"/>
        <v>#DIV/0!</v>
      </c>
      <c r="Q64" s="63" t="e">
        <f t="shared" si="9"/>
        <v>#DIV/0!</v>
      </c>
      <c r="R64" s="61" t="e">
        <f t="shared" si="10"/>
        <v>#DIV/0!</v>
      </c>
      <c r="S64" s="64" t="e">
        <f t="shared" si="11"/>
        <v>#DIV/0!</v>
      </c>
    </row>
    <row r="65" spans="1:19" x14ac:dyDescent="0.2">
      <c r="A65" s="58" t="s">
        <v>169</v>
      </c>
      <c r="B65" s="59" t="s">
        <v>170</v>
      </c>
      <c r="C65" s="59" t="s">
        <v>280</v>
      </c>
      <c r="D65" s="59" t="s">
        <v>285</v>
      </c>
      <c r="E65" s="60" t="s">
        <v>286</v>
      </c>
      <c r="F65" s="59" t="s">
        <v>195</v>
      </c>
      <c r="G65" s="59" t="s">
        <v>109</v>
      </c>
      <c r="H65" s="59" t="s">
        <v>9</v>
      </c>
      <c r="I65" s="59" t="s">
        <v>107</v>
      </c>
      <c r="J65" s="59"/>
      <c r="K65" s="61">
        <v>69.03</v>
      </c>
      <c r="L65" s="61">
        <f t="shared" si="7"/>
        <v>69.03</v>
      </c>
      <c r="M65" s="62">
        <f>prodnorm7</f>
        <v>0</v>
      </c>
      <c r="N65" s="59" t="s">
        <v>34</v>
      </c>
      <c r="O65" s="63">
        <f>uurtarief7</f>
        <v>0</v>
      </c>
      <c r="P65" s="61" t="e">
        <f t="shared" si="8"/>
        <v>#DIV/0!</v>
      </c>
      <c r="Q65" s="63" t="e">
        <f t="shared" si="9"/>
        <v>#DIV/0!</v>
      </c>
      <c r="R65" s="61" t="e">
        <f t="shared" si="10"/>
        <v>#DIV/0!</v>
      </c>
      <c r="S65" s="64" t="e">
        <f t="shared" si="11"/>
        <v>#DIV/0!</v>
      </c>
    </row>
    <row r="66" spans="1:19" x14ac:dyDescent="0.2">
      <c r="A66" s="58" t="s">
        <v>169</v>
      </c>
      <c r="B66" s="59" t="s">
        <v>170</v>
      </c>
      <c r="C66" s="59" t="s">
        <v>280</v>
      </c>
      <c r="D66" s="59" t="s">
        <v>287</v>
      </c>
      <c r="E66" s="60" t="s">
        <v>194</v>
      </c>
      <c r="F66" s="59" t="s">
        <v>195</v>
      </c>
      <c r="G66" s="59" t="s">
        <v>109</v>
      </c>
      <c r="H66" s="59" t="s">
        <v>9</v>
      </c>
      <c r="I66" s="59" t="s">
        <v>107</v>
      </c>
      <c r="J66" s="59"/>
      <c r="K66" s="61">
        <v>29.58</v>
      </c>
      <c r="L66" s="61">
        <f t="shared" si="7"/>
        <v>29.58</v>
      </c>
      <c r="M66" s="62">
        <f>prodnorm7</f>
        <v>0</v>
      </c>
      <c r="N66" s="59" t="s">
        <v>34</v>
      </c>
      <c r="O66" s="63">
        <f>uurtarief7</f>
        <v>0</v>
      </c>
      <c r="P66" s="61" t="e">
        <f t="shared" si="8"/>
        <v>#DIV/0!</v>
      </c>
      <c r="Q66" s="63" t="e">
        <f t="shared" si="9"/>
        <v>#DIV/0!</v>
      </c>
      <c r="R66" s="61" t="e">
        <f t="shared" si="10"/>
        <v>#DIV/0!</v>
      </c>
      <c r="S66" s="64" t="e">
        <f t="shared" si="11"/>
        <v>#DIV/0!</v>
      </c>
    </row>
    <row r="67" spans="1:19" x14ac:dyDescent="0.2">
      <c r="A67" s="58" t="s">
        <v>169</v>
      </c>
      <c r="B67" s="59" t="s">
        <v>170</v>
      </c>
      <c r="C67" s="59" t="s">
        <v>280</v>
      </c>
      <c r="D67" s="59" t="s">
        <v>288</v>
      </c>
      <c r="E67" s="60" t="s">
        <v>286</v>
      </c>
      <c r="F67" s="59" t="s">
        <v>195</v>
      </c>
      <c r="G67" s="59" t="s">
        <v>109</v>
      </c>
      <c r="H67" s="59" t="s">
        <v>9</v>
      </c>
      <c r="I67" s="59" t="s">
        <v>107</v>
      </c>
      <c r="J67" s="59"/>
      <c r="K67" s="61">
        <v>32.53</v>
      </c>
      <c r="L67" s="61">
        <f t="shared" si="7"/>
        <v>32.53</v>
      </c>
      <c r="M67" s="62">
        <f>prodnorm7</f>
        <v>0</v>
      </c>
      <c r="N67" s="59" t="s">
        <v>34</v>
      </c>
      <c r="O67" s="63">
        <f>uurtarief7</f>
        <v>0</v>
      </c>
      <c r="P67" s="61" t="e">
        <f t="shared" si="8"/>
        <v>#DIV/0!</v>
      </c>
      <c r="Q67" s="63" t="e">
        <f t="shared" si="9"/>
        <v>#DIV/0!</v>
      </c>
      <c r="R67" s="61" t="e">
        <f t="shared" si="10"/>
        <v>#DIV/0!</v>
      </c>
      <c r="S67" s="64" t="e">
        <f t="shared" si="11"/>
        <v>#DIV/0!</v>
      </c>
    </row>
    <row r="68" spans="1:19" x14ac:dyDescent="0.2">
      <c r="A68" s="58" t="s">
        <v>169</v>
      </c>
      <c r="B68" s="59" t="s">
        <v>170</v>
      </c>
      <c r="C68" s="59" t="s">
        <v>280</v>
      </c>
      <c r="D68" s="59" t="s">
        <v>289</v>
      </c>
      <c r="E68" s="60" t="s">
        <v>290</v>
      </c>
      <c r="F68" s="59" t="s">
        <v>227</v>
      </c>
      <c r="G68" s="59" t="s">
        <v>131</v>
      </c>
      <c r="H68" s="59" t="s">
        <v>9</v>
      </c>
      <c r="I68" s="59" t="s">
        <v>107</v>
      </c>
      <c r="J68" s="59"/>
      <c r="K68" s="61">
        <v>10.639999999999999</v>
      </c>
      <c r="L68" s="61">
        <f t="shared" si="7"/>
        <v>10.639999999999999</v>
      </c>
      <c r="M68" s="62">
        <f>prodnorm18</f>
        <v>0</v>
      </c>
      <c r="N68" s="59" t="s">
        <v>34</v>
      </c>
      <c r="O68" s="63">
        <f>uurtarief18</f>
        <v>0</v>
      </c>
      <c r="P68" s="61" t="e">
        <f t="shared" si="8"/>
        <v>#DIV/0!</v>
      </c>
      <c r="Q68" s="63" t="e">
        <f t="shared" si="9"/>
        <v>#DIV/0!</v>
      </c>
      <c r="R68" s="61" t="e">
        <f t="shared" si="10"/>
        <v>#DIV/0!</v>
      </c>
      <c r="S68" s="64" t="e">
        <f t="shared" si="11"/>
        <v>#DIV/0!</v>
      </c>
    </row>
    <row r="69" spans="1:19" x14ac:dyDescent="0.2">
      <c r="A69" s="58" t="s">
        <v>169</v>
      </c>
      <c r="B69" s="59" t="s">
        <v>170</v>
      </c>
      <c r="C69" s="59" t="s">
        <v>280</v>
      </c>
      <c r="D69" s="59" t="s">
        <v>289</v>
      </c>
      <c r="E69" s="60" t="s">
        <v>290</v>
      </c>
      <c r="F69" s="59" t="s">
        <v>227</v>
      </c>
      <c r="G69" s="59" t="s">
        <v>137</v>
      </c>
      <c r="H69" s="59" t="s">
        <v>21</v>
      </c>
      <c r="I69" s="59" t="s">
        <v>107</v>
      </c>
      <c r="J69" s="59"/>
      <c r="K69" s="61">
        <v>10.639999999999999</v>
      </c>
      <c r="L69" s="61">
        <f t="shared" ref="L69:L100" si="14">K69*VLOOKUP(H69,dagsoorttabel1,2,FALSE)</f>
        <v>4.0923076923076923E-2</v>
      </c>
      <c r="M69" s="62">
        <f>prodnorm21</f>
        <v>0</v>
      </c>
      <c r="N69" s="59" t="s">
        <v>34</v>
      </c>
      <c r="O69" s="63">
        <f>uurtarief21</f>
        <v>0</v>
      </c>
      <c r="P69" s="61" t="e">
        <f t="shared" ref="P69:P95" si="15">IF(ISBLANK(M69),0,L69/ROUND(M69,4))</f>
        <v>#DIV/0!</v>
      </c>
      <c r="Q69" s="63" t="e">
        <f t="shared" ref="Q69:Q100" si="16">ROUND(O69,2)*P69</f>
        <v>#DIV/0!</v>
      </c>
      <c r="R69" s="61" t="e">
        <f t="shared" ref="R69:R103" si="17">P69*dagenperjaar1</f>
        <v>#DIV/0!</v>
      </c>
      <c r="S69" s="64" t="e">
        <f t="shared" ref="S69:S100" si="18">R69*ROUND(O69,2)</f>
        <v>#DIV/0!</v>
      </c>
    </row>
    <row r="70" spans="1:19" x14ac:dyDescent="0.2">
      <c r="A70" s="58" t="s">
        <v>169</v>
      </c>
      <c r="B70" s="59" t="s">
        <v>170</v>
      </c>
      <c r="C70" s="59" t="s">
        <v>280</v>
      </c>
      <c r="D70" s="59" t="s">
        <v>291</v>
      </c>
      <c r="E70" s="60" t="s">
        <v>292</v>
      </c>
      <c r="F70" s="59" t="s">
        <v>227</v>
      </c>
      <c r="G70" s="59" t="s">
        <v>127</v>
      </c>
      <c r="H70" s="59" t="s">
        <v>9</v>
      </c>
      <c r="I70" s="59" t="s">
        <v>107</v>
      </c>
      <c r="J70" s="59"/>
      <c r="K70" s="61">
        <v>2.5</v>
      </c>
      <c r="L70" s="61">
        <f t="shared" si="14"/>
        <v>2.5</v>
      </c>
      <c r="M70" s="62">
        <f>prodnorm16</f>
        <v>0</v>
      </c>
      <c r="N70" s="59" t="s">
        <v>34</v>
      </c>
      <c r="O70" s="63">
        <f>uurtarief16</f>
        <v>0</v>
      </c>
      <c r="P70" s="61" t="e">
        <f t="shared" si="15"/>
        <v>#DIV/0!</v>
      </c>
      <c r="Q70" s="63" t="e">
        <f t="shared" si="16"/>
        <v>#DIV/0!</v>
      </c>
      <c r="R70" s="61" t="e">
        <f t="shared" si="17"/>
        <v>#DIV/0!</v>
      </c>
      <c r="S70" s="64" t="e">
        <f t="shared" si="18"/>
        <v>#DIV/0!</v>
      </c>
    </row>
    <row r="71" spans="1:19" x14ac:dyDescent="0.2">
      <c r="A71" s="58" t="s">
        <v>169</v>
      </c>
      <c r="B71" s="59" t="s">
        <v>170</v>
      </c>
      <c r="C71" s="59" t="s">
        <v>280</v>
      </c>
      <c r="D71" s="59" t="s">
        <v>291</v>
      </c>
      <c r="E71" s="60" t="s">
        <v>292</v>
      </c>
      <c r="F71" s="59" t="s">
        <v>227</v>
      </c>
      <c r="G71" s="59" t="s">
        <v>137</v>
      </c>
      <c r="H71" s="59" t="s">
        <v>21</v>
      </c>
      <c r="I71" s="59" t="s">
        <v>107</v>
      </c>
      <c r="J71" s="59"/>
      <c r="K71" s="61">
        <v>2.5</v>
      </c>
      <c r="L71" s="61">
        <f t="shared" si="14"/>
        <v>9.6153846153846159E-3</v>
      </c>
      <c r="M71" s="62">
        <f>prodnorm21</f>
        <v>0</v>
      </c>
      <c r="N71" s="59" t="s">
        <v>34</v>
      </c>
      <c r="O71" s="63">
        <f>uurtarief21</f>
        <v>0</v>
      </c>
      <c r="P71" s="61" t="e">
        <f t="shared" si="15"/>
        <v>#DIV/0!</v>
      </c>
      <c r="Q71" s="63" t="e">
        <f t="shared" si="16"/>
        <v>#DIV/0!</v>
      </c>
      <c r="R71" s="61" t="e">
        <f t="shared" si="17"/>
        <v>#DIV/0!</v>
      </c>
      <c r="S71" s="64" t="e">
        <f t="shared" si="18"/>
        <v>#DIV/0!</v>
      </c>
    </row>
    <row r="72" spans="1:19" x14ac:dyDescent="0.2">
      <c r="A72" s="58" t="s">
        <v>169</v>
      </c>
      <c r="B72" s="59" t="s">
        <v>170</v>
      </c>
      <c r="C72" s="59" t="s">
        <v>280</v>
      </c>
      <c r="D72" s="59" t="s">
        <v>293</v>
      </c>
      <c r="E72" s="60" t="s">
        <v>194</v>
      </c>
      <c r="F72" s="59" t="s">
        <v>195</v>
      </c>
      <c r="G72" s="59" t="s">
        <v>109</v>
      </c>
      <c r="H72" s="59" t="s">
        <v>9</v>
      </c>
      <c r="I72" s="59" t="s">
        <v>107</v>
      </c>
      <c r="J72" s="59"/>
      <c r="K72" s="61">
        <v>49.36</v>
      </c>
      <c r="L72" s="61">
        <f t="shared" si="14"/>
        <v>49.36</v>
      </c>
      <c r="M72" s="62">
        <f>prodnorm7</f>
        <v>0</v>
      </c>
      <c r="N72" s="59" t="s">
        <v>34</v>
      </c>
      <c r="O72" s="63">
        <f>uurtarief7</f>
        <v>0</v>
      </c>
      <c r="P72" s="61" t="e">
        <f t="shared" si="15"/>
        <v>#DIV/0!</v>
      </c>
      <c r="Q72" s="63" t="e">
        <f t="shared" si="16"/>
        <v>#DIV/0!</v>
      </c>
      <c r="R72" s="61" t="e">
        <f t="shared" si="17"/>
        <v>#DIV/0!</v>
      </c>
      <c r="S72" s="64" t="e">
        <f t="shared" si="18"/>
        <v>#DIV/0!</v>
      </c>
    </row>
    <row r="73" spans="1:19" x14ac:dyDescent="0.2">
      <c r="A73" s="58" t="s">
        <v>169</v>
      </c>
      <c r="B73" s="59" t="s">
        <v>170</v>
      </c>
      <c r="C73" s="59" t="s">
        <v>280</v>
      </c>
      <c r="D73" s="59" t="s">
        <v>294</v>
      </c>
      <c r="E73" s="60" t="s">
        <v>295</v>
      </c>
      <c r="F73" s="59" t="s">
        <v>227</v>
      </c>
      <c r="G73" s="59" t="s">
        <v>131</v>
      </c>
      <c r="H73" s="59" t="s">
        <v>9</v>
      </c>
      <c r="I73" s="59" t="s">
        <v>107</v>
      </c>
      <c r="J73" s="59"/>
      <c r="K73" s="61">
        <v>41.120000000000005</v>
      </c>
      <c r="L73" s="61">
        <f t="shared" si="14"/>
        <v>41.120000000000005</v>
      </c>
      <c r="M73" s="62">
        <f>prodnorm18</f>
        <v>0</v>
      </c>
      <c r="N73" s="59" t="s">
        <v>34</v>
      </c>
      <c r="O73" s="63">
        <f>uurtarief18</f>
        <v>0</v>
      </c>
      <c r="P73" s="61" t="e">
        <f t="shared" si="15"/>
        <v>#DIV/0!</v>
      </c>
      <c r="Q73" s="63" t="e">
        <f t="shared" si="16"/>
        <v>#DIV/0!</v>
      </c>
      <c r="R73" s="61" t="e">
        <f t="shared" si="17"/>
        <v>#DIV/0!</v>
      </c>
      <c r="S73" s="64" t="e">
        <f t="shared" si="18"/>
        <v>#DIV/0!</v>
      </c>
    </row>
    <row r="74" spans="1:19" x14ac:dyDescent="0.2">
      <c r="A74" s="58" t="s">
        <v>169</v>
      </c>
      <c r="B74" s="59" t="s">
        <v>170</v>
      </c>
      <c r="C74" s="59" t="s">
        <v>280</v>
      </c>
      <c r="D74" s="59" t="s">
        <v>294</v>
      </c>
      <c r="E74" s="60" t="s">
        <v>295</v>
      </c>
      <c r="F74" s="59" t="s">
        <v>227</v>
      </c>
      <c r="G74" s="59" t="s">
        <v>137</v>
      </c>
      <c r="H74" s="59" t="s">
        <v>21</v>
      </c>
      <c r="I74" s="59" t="s">
        <v>107</v>
      </c>
      <c r="J74" s="59"/>
      <c r="K74" s="61">
        <v>41.120000000000005</v>
      </c>
      <c r="L74" s="61">
        <f t="shared" si="14"/>
        <v>0.15815384615384617</v>
      </c>
      <c r="M74" s="62">
        <f>prodnorm21</f>
        <v>0</v>
      </c>
      <c r="N74" s="59" t="s">
        <v>34</v>
      </c>
      <c r="O74" s="63">
        <f>uurtarief21</f>
        <v>0</v>
      </c>
      <c r="P74" s="61" t="e">
        <f t="shared" si="15"/>
        <v>#DIV/0!</v>
      </c>
      <c r="Q74" s="63" t="e">
        <f t="shared" si="16"/>
        <v>#DIV/0!</v>
      </c>
      <c r="R74" s="61" t="e">
        <f t="shared" si="17"/>
        <v>#DIV/0!</v>
      </c>
      <c r="S74" s="64" t="e">
        <f t="shared" si="18"/>
        <v>#DIV/0!</v>
      </c>
    </row>
    <row r="75" spans="1:19" x14ac:dyDescent="0.2">
      <c r="A75" s="58" t="s">
        <v>169</v>
      </c>
      <c r="B75" s="59" t="s">
        <v>170</v>
      </c>
      <c r="C75" s="59" t="s">
        <v>280</v>
      </c>
      <c r="D75" s="59" t="s">
        <v>296</v>
      </c>
      <c r="E75" s="60" t="s">
        <v>194</v>
      </c>
      <c r="F75" s="59" t="s">
        <v>195</v>
      </c>
      <c r="G75" s="59" t="s">
        <v>109</v>
      </c>
      <c r="H75" s="59" t="s">
        <v>9</v>
      </c>
      <c r="I75" s="59" t="s">
        <v>107</v>
      </c>
      <c r="J75" s="59"/>
      <c r="K75" s="61">
        <v>19.2</v>
      </c>
      <c r="L75" s="61">
        <f t="shared" si="14"/>
        <v>19.2</v>
      </c>
      <c r="M75" s="62">
        <f t="shared" ref="M75:M81" si="19">prodnorm7</f>
        <v>0</v>
      </c>
      <c r="N75" s="59" t="s">
        <v>34</v>
      </c>
      <c r="O75" s="63">
        <f t="shared" ref="O75:O81" si="20">uurtarief7</f>
        <v>0</v>
      </c>
      <c r="P75" s="61" t="e">
        <f t="shared" si="15"/>
        <v>#DIV/0!</v>
      </c>
      <c r="Q75" s="63" t="e">
        <f t="shared" si="16"/>
        <v>#DIV/0!</v>
      </c>
      <c r="R75" s="61" t="e">
        <f t="shared" si="17"/>
        <v>#DIV/0!</v>
      </c>
      <c r="S75" s="64" t="e">
        <f t="shared" si="18"/>
        <v>#DIV/0!</v>
      </c>
    </row>
    <row r="76" spans="1:19" x14ac:dyDescent="0.2">
      <c r="A76" s="58" t="s">
        <v>169</v>
      </c>
      <c r="B76" s="59" t="s">
        <v>170</v>
      </c>
      <c r="C76" s="59" t="s">
        <v>280</v>
      </c>
      <c r="D76" s="59" t="s">
        <v>297</v>
      </c>
      <c r="E76" s="60" t="s">
        <v>194</v>
      </c>
      <c r="F76" s="59" t="s">
        <v>195</v>
      </c>
      <c r="G76" s="59" t="s">
        <v>109</v>
      </c>
      <c r="H76" s="59" t="s">
        <v>9</v>
      </c>
      <c r="I76" s="59" t="s">
        <v>107</v>
      </c>
      <c r="J76" s="59"/>
      <c r="K76" s="61">
        <v>19.91</v>
      </c>
      <c r="L76" s="61">
        <f t="shared" si="14"/>
        <v>19.91</v>
      </c>
      <c r="M76" s="62">
        <f t="shared" si="19"/>
        <v>0</v>
      </c>
      <c r="N76" s="59" t="s">
        <v>34</v>
      </c>
      <c r="O76" s="63">
        <f t="shared" si="20"/>
        <v>0</v>
      </c>
      <c r="P76" s="61" t="e">
        <f t="shared" si="15"/>
        <v>#DIV/0!</v>
      </c>
      <c r="Q76" s="63" t="e">
        <f t="shared" si="16"/>
        <v>#DIV/0!</v>
      </c>
      <c r="R76" s="61" t="e">
        <f t="shared" si="17"/>
        <v>#DIV/0!</v>
      </c>
      <c r="S76" s="64" t="e">
        <f t="shared" si="18"/>
        <v>#DIV/0!</v>
      </c>
    </row>
    <row r="77" spans="1:19" x14ac:dyDescent="0.2">
      <c r="A77" s="58" t="s">
        <v>169</v>
      </c>
      <c r="B77" s="59" t="s">
        <v>170</v>
      </c>
      <c r="C77" s="59" t="s">
        <v>280</v>
      </c>
      <c r="D77" s="59" t="s">
        <v>298</v>
      </c>
      <c r="E77" s="60" t="s">
        <v>194</v>
      </c>
      <c r="F77" s="59" t="s">
        <v>195</v>
      </c>
      <c r="G77" s="59" t="s">
        <v>109</v>
      </c>
      <c r="H77" s="59" t="s">
        <v>9</v>
      </c>
      <c r="I77" s="59" t="s">
        <v>107</v>
      </c>
      <c r="J77" s="59"/>
      <c r="K77" s="61">
        <v>23.49</v>
      </c>
      <c r="L77" s="61">
        <f t="shared" si="14"/>
        <v>23.49</v>
      </c>
      <c r="M77" s="62">
        <f t="shared" si="19"/>
        <v>0</v>
      </c>
      <c r="N77" s="59" t="s">
        <v>34</v>
      </c>
      <c r="O77" s="63">
        <f t="shared" si="20"/>
        <v>0</v>
      </c>
      <c r="P77" s="61" t="e">
        <f t="shared" si="15"/>
        <v>#DIV/0!</v>
      </c>
      <c r="Q77" s="63" t="e">
        <f t="shared" si="16"/>
        <v>#DIV/0!</v>
      </c>
      <c r="R77" s="61" t="e">
        <f t="shared" si="17"/>
        <v>#DIV/0!</v>
      </c>
      <c r="S77" s="64" t="e">
        <f t="shared" si="18"/>
        <v>#DIV/0!</v>
      </c>
    </row>
    <row r="78" spans="1:19" x14ac:dyDescent="0.2">
      <c r="A78" s="58" t="s">
        <v>169</v>
      </c>
      <c r="B78" s="59" t="s">
        <v>170</v>
      </c>
      <c r="C78" s="59" t="s">
        <v>280</v>
      </c>
      <c r="D78" s="59" t="s">
        <v>299</v>
      </c>
      <c r="E78" s="60" t="s">
        <v>194</v>
      </c>
      <c r="F78" s="59" t="s">
        <v>195</v>
      </c>
      <c r="G78" s="59" t="s">
        <v>109</v>
      </c>
      <c r="H78" s="59" t="s">
        <v>9</v>
      </c>
      <c r="I78" s="59" t="s">
        <v>107</v>
      </c>
      <c r="J78" s="59"/>
      <c r="K78" s="61">
        <v>18.510000000000002</v>
      </c>
      <c r="L78" s="61">
        <f t="shared" si="14"/>
        <v>18.510000000000002</v>
      </c>
      <c r="M78" s="62">
        <f t="shared" si="19"/>
        <v>0</v>
      </c>
      <c r="N78" s="59" t="s">
        <v>34</v>
      </c>
      <c r="O78" s="63">
        <f t="shared" si="20"/>
        <v>0</v>
      </c>
      <c r="P78" s="61" t="e">
        <f t="shared" si="15"/>
        <v>#DIV/0!</v>
      </c>
      <c r="Q78" s="63" t="e">
        <f t="shared" si="16"/>
        <v>#DIV/0!</v>
      </c>
      <c r="R78" s="61" t="e">
        <f t="shared" si="17"/>
        <v>#DIV/0!</v>
      </c>
      <c r="S78" s="64" t="e">
        <f t="shared" si="18"/>
        <v>#DIV/0!</v>
      </c>
    </row>
    <row r="79" spans="1:19" x14ac:dyDescent="0.2">
      <c r="A79" s="58" t="s">
        <v>169</v>
      </c>
      <c r="B79" s="59" t="s">
        <v>170</v>
      </c>
      <c r="C79" s="59" t="s">
        <v>280</v>
      </c>
      <c r="D79" s="59" t="s">
        <v>300</v>
      </c>
      <c r="E79" s="60" t="s">
        <v>194</v>
      </c>
      <c r="F79" s="59" t="s">
        <v>195</v>
      </c>
      <c r="G79" s="59" t="s">
        <v>109</v>
      </c>
      <c r="H79" s="59" t="s">
        <v>9</v>
      </c>
      <c r="I79" s="59" t="s">
        <v>107</v>
      </c>
      <c r="J79" s="59"/>
      <c r="K79" s="61">
        <v>18.830000000000002</v>
      </c>
      <c r="L79" s="61">
        <f t="shared" si="14"/>
        <v>18.830000000000002</v>
      </c>
      <c r="M79" s="62">
        <f t="shared" si="19"/>
        <v>0</v>
      </c>
      <c r="N79" s="59" t="s">
        <v>34</v>
      </c>
      <c r="O79" s="63">
        <f t="shared" si="20"/>
        <v>0</v>
      </c>
      <c r="P79" s="61" t="e">
        <f t="shared" si="15"/>
        <v>#DIV/0!</v>
      </c>
      <c r="Q79" s="63" t="e">
        <f t="shared" si="16"/>
        <v>#DIV/0!</v>
      </c>
      <c r="R79" s="61" t="e">
        <f t="shared" si="17"/>
        <v>#DIV/0!</v>
      </c>
      <c r="S79" s="64" t="e">
        <f t="shared" si="18"/>
        <v>#DIV/0!</v>
      </c>
    </row>
    <row r="80" spans="1:19" x14ac:dyDescent="0.2">
      <c r="A80" s="58" t="s">
        <v>169</v>
      </c>
      <c r="B80" s="59" t="s">
        <v>170</v>
      </c>
      <c r="C80" s="59" t="s">
        <v>280</v>
      </c>
      <c r="D80" s="59" t="s">
        <v>301</v>
      </c>
      <c r="E80" s="60" t="s">
        <v>194</v>
      </c>
      <c r="F80" s="59" t="s">
        <v>195</v>
      </c>
      <c r="G80" s="59" t="s">
        <v>109</v>
      </c>
      <c r="H80" s="59" t="s">
        <v>9</v>
      </c>
      <c r="I80" s="59" t="s">
        <v>107</v>
      </c>
      <c r="J80" s="59"/>
      <c r="K80" s="61">
        <v>32</v>
      </c>
      <c r="L80" s="61">
        <f t="shared" si="14"/>
        <v>32</v>
      </c>
      <c r="M80" s="62">
        <f t="shared" si="19"/>
        <v>0</v>
      </c>
      <c r="N80" s="59" t="s">
        <v>34</v>
      </c>
      <c r="O80" s="63">
        <f t="shared" si="20"/>
        <v>0</v>
      </c>
      <c r="P80" s="61" t="e">
        <f t="shared" si="15"/>
        <v>#DIV/0!</v>
      </c>
      <c r="Q80" s="63" t="e">
        <f t="shared" si="16"/>
        <v>#DIV/0!</v>
      </c>
      <c r="R80" s="61" t="e">
        <f t="shared" si="17"/>
        <v>#DIV/0!</v>
      </c>
      <c r="S80" s="64" t="e">
        <f t="shared" si="18"/>
        <v>#DIV/0!</v>
      </c>
    </row>
    <row r="81" spans="1:19" x14ac:dyDescent="0.2">
      <c r="A81" s="58" t="s">
        <v>169</v>
      </c>
      <c r="B81" s="59" t="s">
        <v>170</v>
      </c>
      <c r="C81" s="59" t="s">
        <v>280</v>
      </c>
      <c r="D81" s="59" t="s">
        <v>302</v>
      </c>
      <c r="E81" s="60" t="s">
        <v>194</v>
      </c>
      <c r="F81" s="59" t="s">
        <v>195</v>
      </c>
      <c r="G81" s="59" t="s">
        <v>109</v>
      </c>
      <c r="H81" s="59" t="s">
        <v>9</v>
      </c>
      <c r="I81" s="59" t="s">
        <v>107</v>
      </c>
      <c r="J81" s="59"/>
      <c r="K81" s="61">
        <v>22.07</v>
      </c>
      <c r="L81" s="61">
        <f t="shared" si="14"/>
        <v>22.07</v>
      </c>
      <c r="M81" s="62">
        <f t="shared" si="19"/>
        <v>0</v>
      </c>
      <c r="N81" s="59" t="s">
        <v>34</v>
      </c>
      <c r="O81" s="63">
        <f t="shared" si="20"/>
        <v>0</v>
      </c>
      <c r="P81" s="61" t="e">
        <f t="shared" si="15"/>
        <v>#DIV/0!</v>
      </c>
      <c r="Q81" s="63" t="e">
        <f t="shared" si="16"/>
        <v>#DIV/0!</v>
      </c>
      <c r="R81" s="61" t="e">
        <f t="shared" si="17"/>
        <v>#DIV/0!</v>
      </c>
      <c r="S81" s="64" t="e">
        <f t="shared" si="18"/>
        <v>#DIV/0!</v>
      </c>
    </row>
    <row r="82" spans="1:19" x14ac:dyDescent="0.2">
      <c r="A82" s="58" t="s">
        <v>169</v>
      </c>
      <c r="B82" s="59" t="s">
        <v>170</v>
      </c>
      <c r="C82" s="59" t="s">
        <v>280</v>
      </c>
      <c r="D82" s="59" t="s">
        <v>303</v>
      </c>
      <c r="E82" s="60" t="s">
        <v>304</v>
      </c>
      <c r="F82" s="59" t="s">
        <v>227</v>
      </c>
      <c r="G82" s="59" t="s">
        <v>131</v>
      </c>
      <c r="H82" s="59" t="s">
        <v>9</v>
      </c>
      <c r="I82" s="59" t="s">
        <v>107</v>
      </c>
      <c r="J82" s="59"/>
      <c r="K82" s="61">
        <v>17.55</v>
      </c>
      <c r="L82" s="61">
        <f t="shared" si="14"/>
        <v>17.55</v>
      </c>
      <c r="M82" s="62">
        <f>prodnorm18</f>
        <v>0</v>
      </c>
      <c r="N82" s="59" t="s">
        <v>34</v>
      </c>
      <c r="O82" s="63">
        <f>uurtarief18</f>
        <v>0</v>
      </c>
      <c r="P82" s="61" t="e">
        <f t="shared" si="15"/>
        <v>#DIV/0!</v>
      </c>
      <c r="Q82" s="63" t="e">
        <f t="shared" si="16"/>
        <v>#DIV/0!</v>
      </c>
      <c r="R82" s="61" t="e">
        <f t="shared" si="17"/>
        <v>#DIV/0!</v>
      </c>
      <c r="S82" s="64" t="e">
        <f t="shared" si="18"/>
        <v>#DIV/0!</v>
      </c>
    </row>
    <row r="83" spans="1:19" x14ac:dyDescent="0.2">
      <c r="A83" s="58" t="s">
        <v>169</v>
      </c>
      <c r="B83" s="59" t="s">
        <v>170</v>
      </c>
      <c r="C83" s="59" t="s">
        <v>280</v>
      </c>
      <c r="D83" s="59" t="s">
        <v>303</v>
      </c>
      <c r="E83" s="60" t="s">
        <v>304</v>
      </c>
      <c r="F83" s="59" t="s">
        <v>227</v>
      </c>
      <c r="G83" s="59" t="s">
        <v>137</v>
      </c>
      <c r="H83" s="59" t="s">
        <v>21</v>
      </c>
      <c r="I83" s="59" t="s">
        <v>107</v>
      </c>
      <c r="J83" s="59"/>
      <c r="K83" s="61">
        <v>17.55</v>
      </c>
      <c r="L83" s="61">
        <f t="shared" si="14"/>
        <v>6.7500000000000004E-2</v>
      </c>
      <c r="M83" s="62">
        <f>prodnorm21</f>
        <v>0</v>
      </c>
      <c r="N83" s="59" t="s">
        <v>34</v>
      </c>
      <c r="O83" s="63">
        <f>uurtarief21</f>
        <v>0</v>
      </c>
      <c r="P83" s="61" t="e">
        <f t="shared" si="15"/>
        <v>#DIV/0!</v>
      </c>
      <c r="Q83" s="63" t="e">
        <f t="shared" si="16"/>
        <v>#DIV/0!</v>
      </c>
      <c r="R83" s="61" t="e">
        <f t="shared" si="17"/>
        <v>#DIV/0!</v>
      </c>
      <c r="S83" s="64" t="e">
        <f t="shared" si="18"/>
        <v>#DIV/0!</v>
      </c>
    </row>
    <row r="84" spans="1:19" x14ac:dyDescent="0.2">
      <c r="A84" s="58" t="s">
        <v>169</v>
      </c>
      <c r="B84" s="59" t="s">
        <v>170</v>
      </c>
      <c r="C84" s="59" t="s">
        <v>280</v>
      </c>
      <c r="D84" s="59" t="s">
        <v>305</v>
      </c>
      <c r="E84" s="60" t="s">
        <v>306</v>
      </c>
      <c r="F84" s="59" t="s">
        <v>208</v>
      </c>
      <c r="G84" s="59" t="s">
        <v>125</v>
      </c>
      <c r="H84" s="59" t="s">
        <v>9</v>
      </c>
      <c r="I84" s="59" t="s">
        <v>107</v>
      </c>
      <c r="J84" s="59"/>
      <c r="K84" s="61">
        <v>4.9000000000000004</v>
      </c>
      <c r="L84" s="61">
        <f t="shared" si="14"/>
        <v>4.9000000000000004</v>
      </c>
      <c r="M84" s="62">
        <f>prodnorm15</f>
        <v>0</v>
      </c>
      <c r="N84" s="59" t="s">
        <v>34</v>
      </c>
      <c r="O84" s="63">
        <f>uurtarief15</f>
        <v>0</v>
      </c>
      <c r="P84" s="61" t="e">
        <f t="shared" si="15"/>
        <v>#DIV/0!</v>
      </c>
      <c r="Q84" s="63" t="e">
        <f t="shared" si="16"/>
        <v>#DIV/0!</v>
      </c>
      <c r="R84" s="61" t="e">
        <f t="shared" si="17"/>
        <v>#DIV/0!</v>
      </c>
      <c r="S84" s="64" t="e">
        <f t="shared" si="18"/>
        <v>#DIV/0!</v>
      </c>
    </row>
    <row r="85" spans="1:19" x14ac:dyDescent="0.2">
      <c r="A85" s="58" t="s">
        <v>169</v>
      </c>
      <c r="B85" s="59" t="s">
        <v>170</v>
      </c>
      <c r="C85" s="59" t="s">
        <v>280</v>
      </c>
      <c r="D85" s="59" t="s">
        <v>307</v>
      </c>
      <c r="E85" s="60" t="s">
        <v>308</v>
      </c>
      <c r="F85" s="59" t="s">
        <v>208</v>
      </c>
      <c r="G85" s="59" t="s">
        <v>125</v>
      </c>
      <c r="H85" s="59" t="s">
        <v>9</v>
      </c>
      <c r="I85" s="59" t="s">
        <v>107</v>
      </c>
      <c r="J85" s="59"/>
      <c r="K85" s="61">
        <v>1.05</v>
      </c>
      <c r="L85" s="61">
        <f t="shared" si="14"/>
        <v>1.05</v>
      </c>
      <c r="M85" s="62">
        <f>prodnorm15</f>
        <v>0</v>
      </c>
      <c r="N85" s="59" t="s">
        <v>34</v>
      </c>
      <c r="O85" s="63">
        <f>uurtarief15</f>
        <v>0</v>
      </c>
      <c r="P85" s="61" t="e">
        <f t="shared" si="15"/>
        <v>#DIV/0!</v>
      </c>
      <c r="Q85" s="63" t="e">
        <f t="shared" si="16"/>
        <v>#DIV/0!</v>
      </c>
      <c r="R85" s="61" t="e">
        <f t="shared" si="17"/>
        <v>#DIV/0!</v>
      </c>
      <c r="S85" s="64" t="e">
        <f t="shared" si="18"/>
        <v>#DIV/0!</v>
      </c>
    </row>
    <row r="86" spans="1:19" x14ac:dyDescent="0.2">
      <c r="A86" s="58" t="s">
        <v>169</v>
      </c>
      <c r="B86" s="59" t="s">
        <v>170</v>
      </c>
      <c r="C86" s="59" t="s">
        <v>280</v>
      </c>
      <c r="D86" s="59" t="s">
        <v>309</v>
      </c>
      <c r="E86" s="60" t="s">
        <v>310</v>
      </c>
      <c r="F86" s="59" t="s">
        <v>208</v>
      </c>
      <c r="G86" s="59" t="s">
        <v>111</v>
      </c>
      <c r="H86" s="59" t="s">
        <v>9</v>
      </c>
      <c r="I86" s="59" t="s">
        <v>107</v>
      </c>
      <c r="J86" s="59"/>
      <c r="K86" s="61">
        <v>2.0099999999999998</v>
      </c>
      <c r="L86" s="61">
        <f t="shared" si="14"/>
        <v>2.0099999999999998</v>
      </c>
      <c r="M86" s="62">
        <f>prodnorm8</f>
        <v>0</v>
      </c>
      <c r="N86" s="59" t="s">
        <v>34</v>
      </c>
      <c r="O86" s="63">
        <f>uurtarief8</f>
        <v>0</v>
      </c>
      <c r="P86" s="61" t="e">
        <f t="shared" si="15"/>
        <v>#DIV/0!</v>
      </c>
      <c r="Q86" s="63" t="e">
        <f t="shared" si="16"/>
        <v>#DIV/0!</v>
      </c>
      <c r="R86" s="61" t="e">
        <f t="shared" si="17"/>
        <v>#DIV/0!</v>
      </c>
      <c r="S86" s="64" t="e">
        <f t="shared" si="18"/>
        <v>#DIV/0!</v>
      </c>
    </row>
    <row r="87" spans="1:19" x14ac:dyDescent="0.2">
      <c r="A87" s="58" t="s">
        <v>169</v>
      </c>
      <c r="B87" s="59" t="s">
        <v>170</v>
      </c>
      <c r="C87" s="59" t="s">
        <v>280</v>
      </c>
      <c r="D87" s="59" t="s">
        <v>311</v>
      </c>
      <c r="E87" s="60" t="s">
        <v>312</v>
      </c>
      <c r="F87" s="59" t="s">
        <v>195</v>
      </c>
      <c r="G87" s="59" t="s">
        <v>133</v>
      </c>
      <c r="H87" s="59" t="s">
        <v>9</v>
      </c>
      <c r="I87" s="59" t="s">
        <v>107</v>
      </c>
      <c r="J87" s="59"/>
      <c r="K87" s="61">
        <v>40.130000000000003</v>
      </c>
      <c r="L87" s="61">
        <f t="shared" si="14"/>
        <v>40.130000000000003</v>
      </c>
      <c r="M87" s="62">
        <f>prodnorm19</f>
        <v>0</v>
      </c>
      <c r="N87" s="59" t="s">
        <v>34</v>
      </c>
      <c r="O87" s="63">
        <f>uurtarief19</f>
        <v>0</v>
      </c>
      <c r="P87" s="61" t="e">
        <f t="shared" si="15"/>
        <v>#DIV/0!</v>
      </c>
      <c r="Q87" s="63" t="e">
        <f t="shared" si="16"/>
        <v>#DIV/0!</v>
      </c>
      <c r="R87" s="61" t="e">
        <f t="shared" si="17"/>
        <v>#DIV/0!</v>
      </c>
      <c r="S87" s="64" t="e">
        <f t="shared" si="18"/>
        <v>#DIV/0!</v>
      </c>
    </row>
    <row r="88" spans="1:19" x14ac:dyDescent="0.2">
      <c r="A88" s="58" t="s">
        <v>169</v>
      </c>
      <c r="B88" s="59" t="s">
        <v>170</v>
      </c>
      <c r="C88" s="59" t="s">
        <v>280</v>
      </c>
      <c r="D88" s="59" t="s">
        <v>313</v>
      </c>
      <c r="E88" s="60" t="s">
        <v>214</v>
      </c>
      <c r="F88" s="59" t="s">
        <v>208</v>
      </c>
      <c r="G88" s="59" t="s">
        <v>125</v>
      </c>
      <c r="H88" s="59" t="s">
        <v>9</v>
      </c>
      <c r="I88" s="59" t="s">
        <v>107</v>
      </c>
      <c r="J88" s="59"/>
      <c r="K88" s="61">
        <v>3.38</v>
      </c>
      <c r="L88" s="61">
        <f t="shared" si="14"/>
        <v>3.38</v>
      </c>
      <c r="M88" s="62">
        <f>prodnorm15</f>
        <v>0</v>
      </c>
      <c r="N88" s="59" t="s">
        <v>34</v>
      </c>
      <c r="O88" s="63">
        <f>uurtarief15</f>
        <v>0</v>
      </c>
      <c r="P88" s="61" t="e">
        <f t="shared" si="15"/>
        <v>#DIV/0!</v>
      </c>
      <c r="Q88" s="63" t="e">
        <f t="shared" si="16"/>
        <v>#DIV/0!</v>
      </c>
      <c r="R88" s="61" t="e">
        <f t="shared" si="17"/>
        <v>#DIV/0!</v>
      </c>
      <c r="S88" s="64" t="e">
        <f t="shared" si="18"/>
        <v>#DIV/0!</v>
      </c>
    </row>
    <row r="89" spans="1:19" x14ac:dyDescent="0.2">
      <c r="A89" s="58" t="s">
        <v>169</v>
      </c>
      <c r="B89" s="59" t="s">
        <v>170</v>
      </c>
      <c r="C89" s="59" t="s">
        <v>280</v>
      </c>
      <c r="D89" s="59" t="s">
        <v>314</v>
      </c>
      <c r="E89" s="60" t="s">
        <v>216</v>
      </c>
      <c r="F89" s="59" t="s">
        <v>208</v>
      </c>
      <c r="G89" s="59" t="s">
        <v>125</v>
      </c>
      <c r="H89" s="59" t="s">
        <v>9</v>
      </c>
      <c r="I89" s="59" t="s">
        <v>107</v>
      </c>
      <c r="J89" s="59"/>
      <c r="K89" s="61">
        <v>2.38</v>
      </c>
      <c r="L89" s="61">
        <f t="shared" si="14"/>
        <v>2.38</v>
      </c>
      <c r="M89" s="62">
        <f>prodnorm15</f>
        <v>0</v>
      </c>
      <c r="N89" s="59" t="s">
        <v>34</v>
      </c>
      <c r="O89" s="63">
        <f>uurtarief15</f>
        <v>0</v>
      </c>
      <c r="P89" s="61" t="e">
        <f t="shared" si="15"/>
        <v>#DIV/0!</v>
      </c>
      <c r="Q89" s="63" t="e">
        <f t="shared" si="16"/>
        <v>#DIV/0!</v>
      </c>
      <c r="R89" s="61" t="e">
        <f t="shared" si="17"/>
        <v>#DIV/0!</v>
      </c>
      <c r="S89" s="64" t="e">
        <f t="shared" si="18"/>
        <v>#DIV/0!</v>
      </c>
    </row>
    <row r="90" spans="1:19" x14ac:dyDescent="0.2">
      <c r="A90" s="58" t="s">
        <v>169</v>
      </c>
      <c r="B90" s="59" t="s">
        <v>170</v>
      </c>
      <c r="C90" s="59" t="s">
        <v>280</v>
      </c>
      <c r="D90" s="59" t="s">
        <v>315</v>
      </c>
      <c r="E90" s="60" t="s">
        <v>219</v>
      </c>
      <c r="F90" s="59" t="s">
        <v>208</v>
      </c>
      <c r="G90" s="59" t="s">
        <v>125</v>
      </c>
      <c r="H90" s="59" t="s">
        <v>9</v>
      </c>
      <c r="I90" s="59" t="s">
        <v>107</v>
      </c>
      <c r="J90" s="59"/>
      <c r="K90" s="61">
        <v>3.69</v>
      </c>
      <c r="L90" s="61">
        <f t="shared" si="14"/>
        <v>3.69</v>
      </c>
      <c r="M90" s="62">
        <f>prodnorm15</f>
        <v>0</v>
      </c>
      <c r="N90" s="59" t="s">
        <v>34</v>
      </c>
      <c r="O90" s="63">
        <f>uurtarief15</f>
        <v>0</v>
      </c>
      <c r="P90" s="61" t="e">
        <f t="shared" si="15"/>
        <v>#DIV/0!</v>
      </c>
      <c r="Q90" s="63" t="e">
        <f t="shared" si="16"/>
        <v>#DIV/0!</v>
      </c>
      <c r="R90" s="61" t="e">
        <f t="shared" si="17"/>
        <v>#DIV/0!</v>
      </c>
      <c r="S90" s="64" t="e">
        <f t="shared" si="18"/>
        <v>#DIV/0!</v>
      </c>
    </row>
    <row r="91" spans="1:19" x14ac:dyDescent="0.2">
      <c r="A91" s="58" t="s">
        <v>169</v>
      </c>
      <c r="B91" s="59" t="s">
        <v>170</v>
      </c>
      <c r="C91" s="59" t="s">
        <v>280</v>
      </c>
      <c r="D91" s="59" t="s">
        <v>316</v>
      </c>
      <c r="E91" s="60" t="s">
        <v>317</v>
      </c>
      <c r="F91" s="59" t="s">
        <v>208</v>
      </c>
      <c r="G91" s="59" t="s">
        <v>125</v>
      </c>
      <c r="H91" s="59" t="s">
        <v>9</v>
      </c>
      <c r="I91" s="59" t="s">
        <v>107</v>
      </c>
      <c r="J91" s="59"/>
      <c r="K91" s="61">
        <v>2.9099999999999997</v>
      </c>
      <c r="L91" s="61">
        <f t="shared" si="14"/>
        <v>2.9099999999999997</v>
      </c>
      <c r="M91" s="62">
        <f>prodnorm15</f>
        <v>0</v>
      </c>
      <c r="N91" s="59" t="s">
        <v>34</v>
      </c>
      <c r="O91" s="63">
        <f>uurtarief15</f>
        <v>0</v>
      </c>
      <c r="P91" s="61" t="e">
        <f t="shared" si="15"/>
        <v>#DIV/0!</v>
      </c>
      <c r="Q91" s="63" t="e">
        <f t="shared" si="16"/>
        <v>#DIV/0!</v>
      </c>
      <c r="R91" s="61" t="e">
        <f t="shared" si="17"/>
        <v>#DIV/0!</v>
      </c>
      <c r="S91" s="64" t="e">
        <f t="shared" si="18"/>
        <v>#DIV/0!</v>
      </c>
    </row>
    <row r="92" spans="1:19" x14ac:dyDescent="0.2">
      <c r="A92" s="58" t="s">
        <v>169</v>
      </c>
      <c r="B92" s="59" t="s">
        <v>170</v>
      </c>
      <c r="C92" s="59" t="s">
        <v>280</v>
      </c>
      <c r="D92" s="59" t="s">
        <v>318</v>
      </c>
      <c r="E92" s="60" t="s">
        <v>319</v>
      </c>
      <c r="F92" s="59" t="s">
        <v>227</v>
      </c>
      <c r="G92" s="59" t="s">
        <v>123</v>
      </c>
      <c r="H92" s="59" t="s">
        <v>9</v>
      </c>
      <c r="I92" s="59" t="s">
        <v>107</v>
      </c>
      <c r="J92" s="59"/>
      <c r="K92" s="61">
        <v>125.4</v>
      </c>
      <c r="L92" s="61">
        <f t="shared" si="14"/>
        <v>125.4</v>
      </c>
      <c r="M92" s="62">
        <f>prodnorm14</f>
        <v>0</v>
      </c>
      <c r="N92" s="59" t="s">
        <v>34</v>
      </c>
      <c r="O92" s="63">
        <f>uurtarief14</f>
        <v>0</v>
      </c>
      <c r="P92" s="61" t="e">
        <f t="shared" si="15"/>
        <v>#DIV/0!</v>
      </c>
      <c r="Q92" s="63" t="e">
        <f t="shared" si="16"/>
        <v>#DIV/0!</v>
      </c>
      <c r="R92" s="61" t="e">
        <f t="shared" si="17"/>
        <v>#DIV/0!</v>
      </c>
      <c r="S92" s="64" t="e">
        <f t="shared" si="18"/>
        <v>#DIV/0!</v>
      </c>
    </row>
    <row r="93" spans="1:19" x14ac:dyDescent="0.2">
      <c r="A93" s="58" t="s">
        <v>169</v>
      </c>
      <c r="B93" s="59" t="s">
        <v>170</v>
      </c>
      <c r="C93" s="59" t="s">
        <v>280</v>
      </c>
      <c r="D93" s="59" t="s">
        <v>318</v>
      </c>
      <c r="E93" s="60" t="s">
        <v>319</v>
      </c>
      <c r="F93" s="59" t="s">
        <v>227</v>
      </c>
      <c r="G93" s="59" t="s">
        <v>137</v>
      </c>
      <c r="H93" s="59" t="s">
        <v>21</v>
      </c>
      <c r="I93" s="59" t="s">
        <v>107</v>
      </c>
      <c r="J93" s="59"/>
      <c r="K93" s="61">
        <v>125.4</v>
      </c>
      <c r="L93" s="61">
        <f t="shared" si="14"/>
        <v>0.48230769230769238</v>
      </c>
      <c r="M93" s="62">
        <f>prodnorm21</f>
        <v>0</v>
      </c>
      <c r="N93" s="59" t="s">
        <v>34</v>
      </c>
      <c r="O93" s="63">
        <f>uurtarief21</f>
        <v>0</v>
      </c>
      <c r="P93" s="61" t="e">
        <f t="shared" si="15"/>
        <v>#DIV/0!</v>
      </c>
      <c r="Q93" s="63" t="e">
        <f t="shared" si="16"/>
        <v>#DIV/0!</v>
      </c>
      <c r="R93" s="61" t="e">
        <f t="shared" si="17"/>
        <v>#DIV/0!</v>
      </c>
      <c r="S93" s="64" t="e">
        <f t="shared" si="18"/>
        <v>#DIV/0!</v>
      </c>
    </row>
    <row r="94" spans="1:19" x14ac:dyDescent="0.2">
      <c r="A94" s="58" t="s">
        <v>169</v>
      </c>
      <c r="B94" s="59" t="s">
        <v>170</v>
      </c>
      <c r="C94" s="59" t="s">
        <v>280</v>
      </c>
      <c r="D94" s="59" t="s">
        <v>320</v>
      </c>
      <c r="E94" s="60" t="s">
        <v>292</v>
      </c>
      <c r="F94" s="59" t="s">
        <v>227</v>
      </c>
      <c r="G94" s="59" t="s">
        <v>131</v>
      </c>
      <c r="H94" s="59" t="s">
        <v>9</v>
      </c>
      <c r="I94" s="59" t="s">
        <v>107</v>
      </c>
      <c r="J94" s="59"/>
      <c r="K94" s="61">
        <v>4.7</v>
      </c>
      <c r="L94" s="61">
        <f t="shared" si="14"/>
        <v>4.7</v>
      </c>
      <c r="M94" s="62">
        <f>prodnorm18</f>
        <v>0</v>
      </c>
      <c r="N94" s="59" t="s">
        <v>34</v>
      </c>
      <c r="O94" s="63">
        <f>uurtarief18</f>
        <v>0</v>
      </c>
      <c r="P94" s="61" t="e">
        <f t="shared" si="15"/>
        <v>#DIV/0!</v>
      </c>
      <c r="Q94" s="63" t="e">
        <f t="shared" si="16"/>
        <v>#DIV/0!</v>
      </c>
      <c r="R94" s="61" t="e">
        <f t="shared" si="17"/>
        <v>#DIV/0!</v>
      </c>
      <c r="S94" s="64" t="e">
        <f t="shared" si="18"/>
        <v>#DIV/0!</v>
      </c>
    </row>
    <row r="95" spans="1:19" x14ac:dyDescent="0.2">
      <c r="A95" s="58" t="s">
        <v>169</v>
      </c>
      <c r="B95" s="59" t="s">
        <v>170</v>
      </c>
      <c r="C95" s="59" t="s">
        <v>280</v>
      </c>
      <c r="D95" s="59" t="s">
        <v>320</v>
      </c>
      <c r="E95" s="60" t="s">
        <v>292</v>
      </c>
      <c r="F95" s="59" t="s">
        <v>227</v>
      </c>
      <c r="G95" s="59" t="s">
        <v>137</v>
      </c>
      <c r="H95" s="59" t="s">
        <v>21</v>
      </c>
      <c r="I95" s="59" t="s">
        <v>107</v>
      </c>
      <c r="J95" s="59"/>
      <c r="K95" s="61">
        <v>4.7</v>
      </c>
      <c r="L95" s="61">
        <f t="shared" si="14"/>
        <v>1.8076923076923077E-2</v>
      </c>
      <c r="M95" s="62">
        <f>prodnorm21</f>
        <v>0</v>
      </c>
      <c r="N95" s="59" t="s">
        <v>34</v>
      </c>
      <c r="O95" s="63">
        <f>uurtarief21</f>
        <v>0</v>
      </c>
      <c r="P95" s="61" t="e">
        <f t="shared" si="15"/>
        <v>#DIV/0!</v>
      </c>
      <c r="Q95" s="63" t="e">
        <f t="shared" si="16"/>
        <v>#DIV/0!</v>
      </c>
      <c r="R95" s="61" t="e">
        <f t="shared" si="17"/>
        <v>#DIV/0!</v>
      </c>
      <c r="S95" s="64" t="e">
        <f t="shared" si="18"/>
        <v>#DIV/0!</v>
      </c>
    </row>
    <row r="96" spans="1:19" x14ac:dyDescent="0.2">
      <c r="A96" s="58" t="s">
        <v>169</v>
      </c>
      <c r="B96" s="59" t="s">
        <v>170</v>
      </c>
      <c r="C96" s="59" t="s">
        <v>321</v>
      </c>
      <c r="D96" s="59" t="s">
        <v>170</v>
      </c>
      <c r="E96" s="60" t="s">
        <v>322</v>
      </c>
      <c r="F96" s="59" t="s">
        <v>170</v>
      </c>
      <c r="G96" s="59" t="s">
        <v>139</v>
      </c>
      <c r="H96" s="59" t="s">
        <v>14</v>
      </c>
      <c r="I96" s="59" t="s">
        <v>140</v>
      </c>
      <c r="J96" s="59"/>
      <c r="K96" s="61">
        <v>1</v>
      </c>
      <c r="L96" s="61">
        <f t="shared" si="14"/>
        <v>0.2</v>
      </c>
      <c r="M96" s="62">
        <f>prodnorm22</f>
        <v>0</v>
      </c>
      <c r="N96" s="59" t="s">
        <v>142</v>
      </c>
      <c r="O96" s="63">
        <f>uurtarief22</f>
        <v>0</v>
      </c>
      <c r="P96" s="61">
        <f t="shared" ref="P96:P103" si="21">L96*ROUND(M96,4)/60</f>
        <v>0</v>
      </c>
      <c r="Q96" s="63">
        <f t="shared" si="16"/>
        <v>0</v>
      </c>
      <c r="R96" s="61">
        <f t="shared" si="17"/>
        <v>0</v>
      </c>
      <c r="S96" s="64">
        <f t="shared" si="18"/>
        <v>0</v>
      </c>
    </row>
    <row r="97" spans="1:19" x14ac:dyDescent="0.2">
      <c r="A97" s="58" t="s">
        <v>169</v>
      </c>
      <c r="B97" s="59" t="s">
        <v>170</v>
      </c>
      <c r="C97" s="59" t="s">
        <v>321</v>
      </c>
      <c r="D97" s="59" t="s">
        <v>170</v>
      </c>
      <c r="E97" s="60" t="s">
        <v>322</v>
      </c>
      <c r="F97" s="59" t="s">
        <v>170</v>
      </c>
      <c r="G97" s="59" t="s">
        <v>143</v>
      </c>
      <c r="H97" s="59" t="s">
        <v>9</v>
      </c>
      <c r="I97" s="59" t="s">
        <v>140</v>
      </c>
      <c r="J97" s="59"/>
      <c r="K97" s="61">
        <v>1</v>
      </c>
      <c r="L97" s="61">
        <f t="shared" si="14"/>
        <v>1</v>
      </c>
      <c r="M97" s="62">
        <f>prodnorm23</f>
        <v>0</v>
      </c>
      <c r="N97" s="59" t="s">
        <v>142</v>
      </c>
      <c r="O97" s="63">
        <f>uurtarief23</f>
        <v>0</v>
      </c>
      <c r="P97" s="61">
        <f t="shared" si="21"/>
        <v>0</v>
      </c>
      <c r="Q97" s="63">
        <f t="shared" si="16"/>
        <v>0</v>
      </c>
      <c r="R97" s="61">
        <f t="shared" si="17"/>
        <v>0</v>
      </c>
      <c r="S97" s="64">
        <f t="shared" si="18"/>
        <v>0</v>
      </c>
    </row>
    <row r="98" spans="1:19" x14ac:dyDescent="0.2">
      <c r="A98" s="58" t="s">
        <v>169</v>
      </c>
      <c r="B98" s="59" t="s">
        <v>170</v>
      </c>
      <c r="C98" s="59" t="s">
        <v>321</v>
      </c>
      <c r="D98" s="59" t="s">
        <v>170</v>
      </c>
      <c r="E98" s="60" t="s">
        <v>322</v>
      </c>
      <c r="F98" s="59" t="s">
        <v>170</v>
      </c>
      <c r="G98" s="59" t="s">
        <v>145</v>
      </c>
      <c r="H98" s="59" t="s">
        <v>9</v>
      </c>
      <c r="I98" s="59" t="s">
        <v>140</v>
      </c>
      <c r="J98" s="59"/>
      <c r="K98" s="61">
        <v>1</v>
      </c>
      <c r="L98" s="61">
        <f t="shared" si="14"/>
        <v>1</v>
      </c>
      <c r="M98" s="62">
        <f>prodnorm24</f>
        <v>0</v>
      </c>
      <c r="N98" s="59" t="s">
        <v>142</v>
      </c>
      <c r="O98" s="63">
        <f>uurtarief24</f>
        <v>0</v>
      </c>
      <c r="P98" s="61">
        <f t="shared" si="21"/>
        <v>0</v>
      </c>
      <c r="Q98" s="63">
        <f t="shared" si="16"/>
        <v>0</v>
      </c>
      <c r="R98" s="61">
        <f t="shared" si="17"/>
        <v>0</v>
      </c>
      <c r="S98" s="64">
        <f t="shared" si="18"/>
        <v>0</v>
      </c>
    </row>
    <row r="99" spans="1:19" x14ac:dyDescent="0.2">
      <c r="A99" s="58" t="s">
        <v>169</v>
      </c>
      <c r="B99" s="59" t="s">
        <v>170</v>
      </c>
      <c r="C99" s="59" t="s">
        <v>321</v>
      </c>
      <c r="D99" s="59" t="s">
        <v>170</v>
      </c>
      <c r="E99" s="60" t="s">
        <v>322</v>
      </c>
      <c r="F99" s="59" t="s">
        <v>170</v>
      </c>
      <c r="G99" s="59" t="s">
        <v>147</v>
      </c>
      <c r="H99" s="59" t="s">
        <v>18</v>
      </c>
      <c r="I99" s="59" t="s">
        <v>140</v>
      </c>
      <c r="J99" s="59"/>
      <c r="K99" s="61">
        <v>1</v>
      </c>
      <c r="L99" s="61">
        <f t="shared" si="14"/>
        <v>1.5384615384615385E-2</v>
      </c>
      <c r="M99" s="62">
        <f>prodnorm25</f>
        <v>0</v>
      </c>
      <c r="N99" s="59" t="s">
        <v>142</v>
      </c>
      <c r="O99" s="63">
        <f>uurtarief25</f>
        <v>0</v>
      </c>
      <c r="P99" s="61">
        <f t="shared" si="21"/>
        <v>0</v>
      </c>
      <c r="Q99" s="63">
        <f t="shared" si="16"/>
        <v>0</v>
      </c>
      <c r="R99" s="61">
        <f t="shared" si="17"/>
        <v>0</v>
      </c>
      <c r="S99" s="64">
        <f t="shared" si="18"/>
        <v>0</v>
      </c>
    </row>
    <row r="100" spans="1:19" x14ac:dyDescent="0.2">
      <c r="A100" s="58" t="s">
        <v>169</v>
      </c>
      <c r="B100" s="59" t="s">
        <v>170</v>
      </c>
      <c r="C100" s="59" t="s">
        <v>321</v>
      </c>
      <c r="D100" s="59" t="s">
        <v>170</v>
      </c>
      <c r="E100" s="60" t="s">
        <v>322</v>
      </c>
      <c r="F100" s="59" t="s">
        <v>170</v>
      </c>
      <c r="G100" s="59" t="s">
        <v>149</v>
      </c>
      <c r="H100" s="59" t="s">
        <v>14</v>
      </c>
      <c r="I100" s="59" t="s">
        <v>140</v>
      </c>
      <c r="J100" s="59"/>
      <c r="K100" s="61">
        <v>2</v>
      </c>
      <c r="L100" s="61">
        <f t="shared" si="14"/>
        <v>0.4</v>
      </c>
      <c r="M100" s="62">
        <f>prodnorm26</f>
        <v>0</v>
      </c>
      <c r="N100" s="59" t="s">
        <v>142</v>
      </c>
      <c r="O100" s="63">
        <f>uurtarief26</f>
        <v>0</v>
      </c>
      <c r="P100" s="61">
        <f t="shared" si="21"/>
        <v>0</v>
      </c>
      <c r="Q100" s="63">
        <f t="shared" si="16"/>
        <v>0</v>
      </c>
      <c r="R100" s="61">
        <f t="shared" si="17"/>
        <v>0</v>
      </c>
      <c r="S100" s="64">
        <f t="shared" si="18"/>
        <v>0</v>
      </c>
    </row>
    <row r="101" spans="1:19" x14ac:dyDescent="0.2">
      <c r="A101" s="58" t="s">
        <v>169</v>
      </c>
      <c r="B101" s="59" t="s">
        <v>170</v>
      </c>
      <c r="C101" s="59" t="s">
        <v>321</v>
      </c>
      <c r="D101" s="59" t="s">
        <v>170</v>
      </c>
      <c r="E101" s="60" t="s">
        <v>322</v>
      </c>
      <c r="F101" s="59" t="s">
        <v>170</v>
      </c>
      <c r="G101" s="59" t="s">
        <v>151</v>
      </c>
      <c r="H101" s="59" t="s">
        <v>14</v>
      </c>
      <c r="I101" s="59" t="s">
        <v>140</v>
      </c>
      <c r="J101" s="59"/>
      <c r="K101" s="61">
        <v>1</v>
      </c>
      <c r="L101" s="61">
        <f t="shared" ref="L101:L132" si="22">K101*VLOOKUP(H101,dagsoorttabel1,2,FALSE)</f>
        <v>0.2</v>
      </c>
      <c r="M101" s="62">
        <f>prodnorm27</f>
        <v>0</v>
      </c>
      <c r="N101" s="59" t="s">
        <v>142</v>
      </c>
      <c r="O101" s="63">
        <f>uurtarief27</f>
        <v>0</v>
      </c>
      <c r="P101" s="61">
        <f t="shared" si="21"/>
        <v>0</v>
      </c>
      <c r="Q101" s="63">
        <f t="shared" ref="Q101:Q132" si="23">ROUND(O101,2)*P101</f>
        <v>0</v>
      </c>
      <c r="R101" s="61">
        <f t="shared" si="17"/>
        <v>0</v>
      </c>
      <c r="S101" s="64">
        <f t="shared" ref="S101:S132" si="24">R101*ROUND(O101,2)</f>
        <v>0</v>
      </c>
    </row>
    <row r="102" spans="1:19" x14ac:dyDescent="0.2">
      <c r="A102" s="58" t="s">
        <v>169</v>
      </c>
      <c r="B102" s="59" t="s">
        <v>170</v>
      </c>
      <c r="C102" s="59" t="s">
        <v>321</v>
      </c>
      <c r="D102" s="59" t="s">
        <v>170</v>
      </c>
      <c r="E102" s="60" t="s">
        <v>322</v>
      </c>
      <c r="F102" s="59" t="s">
        <v>170</v>
      </c>
      <c r="G102" s="59" t="s">
        <v>153</v>
      </c>
      <c r="H102" s="59" t="s">
        <v>14</v>
      </c>
      <c r="I102" s="59" t="s">
        <v>140</v>
      </c>
      <c r="J102" s="59"/>
      <c r="K102" s="61">
        <v>2</v>
      </c>
      <c r="L102" s="61">
        <f t="shared" si="22"/>
        <v>0.4</v>
      </c>
      <c r="M102" s="62">
        <f>prodnorm28</f>
        <v>0</v>
      </c>
      <c r="N102" s="59" t="s">
        <v>142</v>
      </c>
      <c r="O102" s="63">
        <f>uurtarief28</f>
        <v>0</v>
      </c>
      <c r="P102" s="61">
        <f t="shared" si="21"/>
        <v>0</v>
      </c>
      <c r="Q102" s="63">
        <f t="shared" si="23"/>
        <v>0</v>
      </c>
      <c r="R102" s="61">
        <f t="shared" si="17"/>
        <v>0</v>
      </c>
      <c r="S102" s="64">
        <f t="shared" si="24"/>
        <v>0</v>
      </c>
    </row>
    <row r="103" spans="1:19" x14ac:dyDescent="0.2">
      <c r="A103" s="65" t="s">
        <v>169</v>
      </c>
      <c r="B103" s="66" t="s">
        <v>170</v>
      </c>
      <c r="C103" s="66" t="s">
        <v>321</v>
      </c>
      <c r="D103" s="66" t="s">
        <v>170</v>
      </c>
      <c r="E103" s="67" t="s">
        <v>322</v>
      </c>
      <c r="F103" s="66" t="s">
        <v>170</v>
      </c>
      <c r="G103" s="66" t="s">
        <v>155</v>
      </c>
      <c r="H103" s="66" t="s">
        <v>14</v>
      </c>
      <c r="I103" s="66" t="s">
        <v>140</v>
      </c>
      <c r="J103" s="66"/>
      <c r="K103" s="68">
        <v>1</v>
      </c>
      <c r="L103" s="68">
        <f t="shared" si="22"/>
        <v>0.2</v>
      </c>
      <c r="M103" s="69">
        <f>prodnorm29</f>
        <v>0</v>
      </c>
      <c r="N103" s="66" t="s">
        <v>142</v>
      </c>
      <c r="O103" s="70">
        <f>uurtarief29</f>
        <v>0</v>
      </c>
      <c r="P103" s="68">
        <f t="shared" si="21"/>
        <v>0</v>
      </c>
      <c r="Q103" s="70">
        <f t="shared" si="23"/>
        <v>0</v>
      </c>
      <c r="R103" s="68">
        <f t="shared" si="17"/>
        <v>0</v>
      </c>
      <c r="S103" s="71">
        <f t="shared" si="24"/>
        <v>0</v>
      </c>
    </row>
    <row r="104" spans="1:19" x14ac:dyDescent="0.2">
      <c r="A104" s="41" t="s">
        <v>323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4" t="e">
        <f>IF(_xlfn.SINGLE(object1_urenjaar1)&gt;0,_xlfn.SINGLE(object1_prijsjaar1)/_xlfn.SINGLE(object1_urenjaar1),0)</f>
        <v>#DIV/0!</v>
      </c>
      <c r="P104" s="43" t="e">
        <f>SUM(P5:P103)</f>
        <v>#DIV/0!</v>
      </c>
      <c r="Q104" s="44" t="e">
        <f>SUM(Q5:Q103)</f>
        <v>#DIV/0!</v>
      </c>
      <c r="R104" s="43" t="e">
        <f>SUM(R5:R103)</f>
        <v>#DIV/0!</v>
      </c>
      <c r="S104" s="44" t="e">
        <f>SUM(S5:S103)</f>
        <v>#DIV/0!</v>
      </c>
    </row>
  </sheetData>
  <pageMargins left="0.7" right="0.7" top="0.75" bottom="0.75" header="0.3" footer="0.3"/>
  <pageSetup paperSize="9" scale="61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61C8-F66E-468E-B792-02A029C49A94}">
  <dimension ref="A1:I29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9" width="12.625" customWidth="1"/>
  </cols>
  <sheetData>
    <row r="1" spans="1:9" x14ac:dyDescent="0.2">
      <c r="A1" s="1" t="s">
        <v>324</v>
      </c>
    </row>
    <row r="3" spans="1:9" x14ac:dyDescent="0.2">
      <c r="A3" s="72" t="s">
        <v>98</v>
      </c>
      <c r="B3" s="72" t="s">
        <v>7</v>
      </c>
      <c r="C3" s="72" t="s">
        <v>325</v>
      </c>
      <c r="D3" s="72" t="s">
        <v>326</v>
      </c>
      <c r="E3" s="72" t="s">
        <v>327</v>
      </c>
      <c r="F3" s="72" t="s">
        <v>328</v>
      </c>
      <c r="G3" s="72" t="s">
        <v>329</v>
      </c>
      <c r="H3" s="72" t="s">
        <v>330</v>
      </c>
      <c r="I3" s="72" t="s">
        <v>331</v>
      </c>
    </row>
    <row r="4" spans="1:9" x14ac:dyDescent="0.2">
      <c r="A4" s="73"/>
      <c r="B4" s="73"/>
      <c r="C4" s="73"/>
      <c r="D4" s="73"/>
      <c r="E4" s="73"/>
      <c r="F4" s="73"/>
      <c r="G4" s="73"/>
      <c r="H4" s="73"/>
      <c r="I4" s="74" t="s">
        <v>100</v>
      </c>
    </row>
    <row r="5" spans="1:9" x14ac:dyDescent="0.2">
      <c r="A5" s="15" t="s">
        <v>106</v>
      </c>
      <c r="B5" s="15" t="s">
        <v>9</v>
      </c>
      <c r="C5" s="15" t="s">
        <v>332</v>
      </c>
      <c r="D5" s="15" t="s">
        <v>107</v>
      </c>
      <c r="E5" s="30">
        <f t="shared" ref="E5:E28" si="0">IF(B5="","",VLOOKUP(B5,dagsoorttabel1,2,FALSE))</f>
        <v>1</v>
      </c>
      <c r="F5" s="30">
        <v>1</v>
      </c>
      <c r="G5" s="30">
        <f>IF(prodnorm6&gt;0,1/ROUND(prodnorm6,4),0)</f>
        <v>0</v>
      </c>
      <c r="H5" s="32">
        <f>ROUND(uurtarief6,2)</f>
        <v>0</v>
      </c>
      <c r="I5" s="30">
        <v>20.77</v>
      </c>
    </row>
    <row r="6" spans="1:9" x14ac:dyDescent="0.2">
      <c r="A6" s="20" t="s">
        <v>109</v>
      </c>
      <c r="B6" s="20" t="s">
        <v>9</v>
      </c>
      <c r="C6" s="20" t="s">
        <v>332</v>
      </c>
      <c r="D6" s="20" t="s">
        <v>107</v>
      </c>
      <c r="E6" s="33">
        <f t="shared" si="0"/>
        <v>1</v>
      </c>
      <c r="F6" s="33">
        <v>1</v>
      </c>
      <c r="G6" s="33">
        <f>IF(prodnorm7&gt;0,1/ROUND(prodnorm7,4),0)</f>
        <v>0</v>
      </c>
      <c r="H6" s="35">
        <f>ROUND(uurtarief7,2)</f>
        <v>0</v>
      </c>
      <c r="I6" s="33">
        <v>459.30999999999995</v>
      </c>
    </row>
    <row r="7" spans="1:9" x14ac:dyDescent="0.2">
      <c r="A7" s="20" t="s">
        <v>111</v>
      </c>
      <c r="B7" s="20" t="s">
        <v>9</v>
      </c>
      <c r="C7" s="20" t="s">
        <v>332</v>
      </c>
      <c r="D7" s="20" t="s">
        <v>107</v>
      </c>
      <c r="E7" s="33">
        <f t="shared" si="0"/>
        <v>1</v>
      </c>
      <c r="F7" s="33">
        <v>1</v>
      </c>
      <c r="G7" s="33">
        <f>IF(prodnorm8&gt;0,1/ROUND(prodnorm8,4),0)</f>
        <v>0</v>
      </c>
      <c r="H7" s="35">
        <f>ROUND(uurtarief8,2)</f>
        <v>0</v>
      </c>
      <c r="I7" s="33">
        <v>3.55</v>
      </c>
    </row>
    <row r="8" spans="1:9" x14ac:dyDescent="0.2">
      <c r="A8" s="20" t="s">
        <v>113</v>
      </c>
      <c r="B8" s="20" t="s">
        <v>9</v>
      </c>
      <c r="C8" s="20" t="s">
        <v>332</v>
      </c>
      <c r="D8" s="20" t="s">
        <v>107</v>
      </c>
      <c r="E8" s="33">
        <f t="shared" si="0"/>
        <v>1</v>
      </c>
      <c r="F8" s="33">
        <v>1</v>
      </c>
      <c r="G8" s="33">
        <f>IF(prodnorm9&gt;0,1/ROUND(prodnorm9,4),0)</f>
        <v>0</v>
      </c>
      <c r="H8" s="35">
        <f>ROUND(uurtarief9,2)</f>
        <v>0</v>
      </c>
      <c r="I8" s="33">
        <v>19.55</v>
      </c>
    </row>
    <row r="9" spans="1:9" x14ac:dyDescent="0.2">
      <c r="A9" s="20" t="s">
        <v>115</v>
      </c>
      <c r="B9" s="20" t="s">
        <v>9</v>
      </c>
      <c r="C9" s="20" t="s">
        <v>332</v>
      </c>
      <c r="D9" s="20" t="s">
        <v>107</v>
      </c>
      <c r="E9" s="33">
        <f t="shared" si="0"/>
        <v>1</v>
      </c>
      <c r="F9" s="33">
        <v>1</v>
      </c>
      <c r="G9" s="33">
        <f>IF(prodnorm10&gt;0,1/ROUND(prodnorm10,4),0)</f>
        <v>0</v>
      </c>
      <c r="H9" s="35">
        <f>ROUND(uurtarief10,2)</f>
        <v>0</v>
      </c>
      <c r="I9" s="33">
        <v>1.55</v>
      </c>
    </row>
    <row r="10" spans="1:9" x14ac:dyDescent="0.2">
      <c r="A10" s="20" t="s">
        <v>117</v>
      </c>
      <c r="B10" s="20" t="s">
        <v>9</v>
      </c>
      <c r="C10" s="20" t="s">
        <v>332</v>
      </c>
      <c r="D10" s="20" t="s">
        <v>107</v>
      </c>
      <c r="E10" s="33">
        <f t="shared" si="0"/>
        <v>1</v>
      </c>
      <c r="F10" s="33">
        <v>1</v>
      </c>
      <c r="G10" s="33">
        <f>IF(prodnorm11&gt;0,1/ROUND(prodnorm11,4),0)</f>
        <v>0</v>
      </c>
      <c r="H10" s="35">
        <f>ROUND(uurtarief11,2)</f>
        <v>0</v>
      </c>
      <c r="I10" s="33">
        <v>10</v>
      </c>
    </row>
    <row r="11" spans="1:9" x14ac:dyDescent="0.2">
      <c r="A11" s="20" t="s">
        <v>119</v>
      </c>
      <c r="B11" s="20" t="s">
        <v>9</v>
      </c>
      <c r="C11" s="20" t="s">
        <v>332</v>
      </c>
      <c r="D11" s="20" t="s">
        <v>107</v>
      </c>
      <c r="E11" s="33">
        <f t="shared" si="0"/>
        <v>1</v>
      </c>
      <c r="F11" s="33">
        <v>1</v>
      </c>
      <c r="G11" s="33">
        <f>IF(prodnorm12&gt;0,1/ROUND(prodnorm12,4),0)</f>
        <v>0</v>
      </c>
      <c r="H11" s="35">
        <f>ROUND(uurtarief12,2)</f>
        <v>0</v>
      </c>
      <c r="I11" s="33">
        <v>809.53000000000009</v>
      </c>
    </row>
    <row r="12" spans="1:9" x14ac:dyDescent="0.2">
      <c r="A12" s="20" t="s">
        <v>121</v>
      </c>
      <c r="B12" s="20" t="s">
        <v>9</v>
      </c>
      <c r="C12" s="20" t="s">
        <v>332</v>
      </c>
      <c r="D12" s="20" t="s">
        <v>107</v>
      </c>
      <c r="E12" s="33">
        <f t="shared" si="0"/>
        <v>1</v>
      </c>
      <c r="F12" s="33">
        <v>1</v>
      </c>
      <c r="G12" s="33">
        <f>IF(prodnorm13&gt;0,1/ROUND(prodnorm13,4),0)</f>
        <v>0</v>
      </c>
      <c r="H12" s="35">
        <f>ROUND(uurtarief13,2)</f>
        <v>0</v>
      </c>
      <c r="I12" s="33">
        <v>4</v>
      </c>
    </row>
    <row r="13" spans="1:9" x14ac:dyDescent="0.2">
      <c r="A13" s="20" t="s">
        <v>123</v>
      </c>
      <c r="B13" s="20" t="s">
        <v>9</v>
      </c>
      <c r="C13" s="20" t="s">
        <v>332</v>
      </c>
      <c r="D13" s="20" t="s">
        <v>107</v>
      </c>
      <c r="E13" s="33">
        <f t="shared" si="0"/>
        <v>1</v>
      </c>
      <c r="F13" s="33">
        <v>1</v>
      </c>
      <c r="G13" s="33">
        <f>IF(prodnorm14&gt;0,1/ROUND(prodnorm14,4),0)</f>
        <v>0</v>
      </c>
      <c r="H13" s="35">
        <f>ROUND(uurtarief14,2)</f>
        <v>0</v>
      </c>
      <c r="I13" s="33">
        <v>125.4</v>
      </c>
    </row>
    <row r="14" spans="1:9" x14ac:dyDescent="0.2">
      <c r="A14" s="20" t="s">
        <v>125</v>
      </c>
      <c r="B14" s="20" t="s">
        <v>9</v>
      </c>
      <c r="C14" s="20" t="s">
        <v>332</v>
      </c>
      <c r="D14" s="20" t="s">
        <v>107</v>
      </c>
      <c r="E14" s="33">
        <f t="shared" si="0"/>
        <v>1</v>
      </c>
      <c r="F14" s="33">
        <v>1</v>
      </c>
      <c r="G14" s="33">
        <f>IF(prodnorm15&gt;0,1/ROUND(prodnorm15,4),0)</f>
        <v>0</v>
      </c>
      <c r="H14" s="35">
        <f>ROUND(uurtarief15,2)</f>
        <v>0</v>
      </c>
      <c r="I14" s="33">
        <v>31.34</v>
      </c>
    </row>
    <row r="15" spans="1:9" x14ac:dyDescent="0.2">
      <c r="A15" s="20" t="s">
        <v>127</v>
      </c>
      <c r="B15" s="20" t="s">
        <v>9</v>
      </c>
      <c r="C15" s="20" t="s">
        <v>332</v>
      </c>
      <c r="D15" s="20" t="s">
        <v>107</v>
      </c>
      <c r="E15" s="33">
        <f t="shared" si="0"/>
        <v>1</v>
      </c>
      <c r="F15" s="33">
        <v>1</v>
      </c>
      <c r="G15" s="33">
        <f>IF(prodnorm16&gt;0,1/ROUND(prodnorm16,4),0)</f>
        <v>0</v>
      </c>
      <c r="H15" s="35">
        <f>ROUND(uurtarief16,2)</f>
        <v>0</v>
      </c>
      <c r="I15" s="33">
        <v>21.94</v>
      </c>
    </row>
    <row r="16" spans="1:9" x14ac:dyDescent="0.2">
      <c r="A16" s="20" t="s">
        <v>129</v>
      </c>
      <c r="B16" s="20" t="s">
        <v>9</v>
      </c>
      <c r="C16" s="20" t="s">
        <v>332</v>
      </c>
      <c r="D16" s="20" t="s">
        <v>107</v>
      </c>
      <c r="E16" s="33">
        <f t="shared" si="0"/>
        <v>1</v>
      </c>
      <c r="F16" s="33">
        <v>1</v>
      </c>
      <c r="G16" s="33">
        <f>IF(prodnorm17&gt;0,1/ROUND(prodnorm17,4),0)</f>
        <v>0</v>
      </c>
      <c r="H16" s="35">
        <f>ROUND(uurtarief17,2)</f>
        <v>0</v>
      </c>
      <c r="I16" s="33">
        <v>25.18</v>
      </c>
    </row>
    <row r="17" spans="1:9" x14ac:dyDescent="0.2">
      <c r="A17" s="20" t="s">
        <v>131</v>
      </c>
      <c r="B17" s="20" t="s">
        <v>9</v>
      </c>
      <c r="C17" s="20" t="s">
        <v>332</v>
      </c>
      <c r="D17" s="20" t="s">
        <v>107</v>
      </c>
      <c r="E17" s="33">
        <f t="shared" si="0"/>
        <v>1</v>
      </c>
      <c r="F17" s="33">
        <v>1</v>
      </c>
      <c r="G17" s="33">
        <f>IF(prodnorm18&gt;0,1/ROUND(prodnorm18,4),0)</f>
        <v>0</v>
      </c>
      <c r="H17" s="35">
        <f>ROUND(uurtarief18,2)</f>
        <v>0</v>
      </c>
      <c r="I17" s="33">
        <v>196.22000000000003</v>
      </c>
    </row>
    <row r="18" spans="1:9" x14ac:dyDescent="0.2">
      <c r="A18" s="20" t="s">
        <v>133</v>
      </c>
      <c r="B18" s="20" t="s">
        <v>9</v>
      </c>
      <c r="C18" s="20" t="s">
        <v>332</v>
      </c>
      <c r="D18" s="20" t="s">
        <v>107</v>
      </c>
      <c r="E18" s="33">
        <f t="shared" si="0"/>
        <v>1</v>
      </c>
      <c r="F18" s="33">
        <v>1</v>
      </c>
      <c r="G18" s="33">
        <f>IF(prodnorm19&gt;0,1/ROUND(prodnorm19,4),0)</f>
        <v>0</v>
      </c>
      <c r="H18" s="35">
        <f>ROUND(uurtarief19,2)</f>
        <v>0</v>
      </c>
      <c r="I18" s="33">
        <v>47.09</v>
      </c>
    </row>
    <row r="19" spans="1:9" x14ac:dyDescent="0.2">
      <c r="A19" s="20" t="s">
        <v>135</v>
      </c>
      <c r="B19" s="20" t="s">
        <v>9</v>
      </c>
      <c r="C19" s="20" t="s">
        <v>332</v>
      </c>
      <c r="D19" s="20" t="s">
        <v>107</v>
      </c>
      <c r="E19" s="33">
        <f t="shared" si="0"/>
        <v>1</v>
      </c>
      <c r="F19" s="33">
        <v>1</v>
      </c>
      <c r="G19" s="33">
        <f>IF(prodnorm20&gt;0,1/ROUND(prodnorm20,4),0)</f>
        <v>0</v>
      </c>
      <c r="H19" s="35">
        <f>ROUND(uurtarief20,2)</f>
        <v>0</v>
      </c>
      <c r="I19" s="33">
        <v>29.77</v>
      </c>
    </row>
    <row r="20" spans="1:9" x14ac:dyDescent="0.2">
      <c r="A20" s="20" t="s">
        <v>137</v>
      </c>
      <c r="B20" s="20" t="s">
        <v>21</v>
      </c>
      <c r="C20" s="20" t="s">
        <v>332</v>
      </c>
      <c r="D20" s="20" t="s">
        <v>107</v>
      </c>
      <c r="E20" s="33">
        <f t="shared" si="0"/>
        <v>3.8461538461538464E-3</v>
      </c>
      <c r="F20" s="33">
        <v>1</v>
      </c>
      <c r="G20" s="33">
        <f>IF(prodnorm21&gt;0,1/ROUND(prodnorm21,4),0)</f>
        <v>0</v>
      </c>
      <c r="H20" s="35">
        <f>ROUND(uurtarief21,2)</f>
        <v>0</v>
      </c>
      <c r="I20" s="33">
        <v>245.76999999999998</v>
      </c>
    </row>
    <row r="21" spans="1:9" x14ac:dyDescent="0.2">
      <c r="A21" s="20" t="s">
        <v>139</v>
      </c>
      <c r="B21" s="20" t="s">
        <v>14</v>
      </c>
      <c r="C21" s="20" t="s">
        <v>332</v>
      </c>
      <c r="D21" s="20" t="s">
        <v>140</v>
      </c>
      <c r="E21" s="33">
        <f t="shared" si="0"/>
        <v>0.2</v>
      </c>
      <c r="F21" s="33">
        <v>1</v>
      </c>
      <c r="G21" s="33">
        <f>ROUND(prodnorm22,4)/60</f>
        <v>0</v>
      </c>
      <c r="H21" s="35">
        <f>ROUND(uurtarief22,2)</f>
        <v>0</v>
      </c>
      <c r="I21" s="33">
        <v>1</v>
      </c>
    </row>
    <row r="22" spans="1:9" x14ac:dyDescent="0.2">
      <c r="A22" s="20" t="s">
        <v>143</v>
      </c>
      <c r="B22" s="20" t="s">
        <v>9</v>
      </c>
      <c r="C22" s="20" t="s">
        <v>332</v>
      </c>
      <c r="D22" s="20" t="s">
        <v>140</v>
      </c>
      <c r="E22" s="33">
        <f t="shared" si="0"/>
        <v>1</v>
      </c>
      <c r="F22" s="33">
        <v>1</v>
      </c>
      <c r="G22" s="33">
        <f>ROUND(prodnorm23,4)/60</f>
        <v>0</v>
      </c>
      <c r="H22" s="35">
        <f>ROUND(uurtarief23,2)</f>
        <v>0</v>
      </c>
      <c r="I22" s="33">
        <v>1</v>
      </c>
    </row>
    <row r="23" spans="1:9" x14ac:dyDescent="0.2">
      <c r="A23" s="20" t="s">
        <v>145</v>
      </c>
      <c r="B23" s="20" t="s">
        <v>9</v>
      </c>
      <c r="C23" s="20" t="s">
        <v>332</v>
      </c>
      <c r="D23" s="20" t="s">
        <v>140</v>
      </c>
      <c r="E23" s="33">
        <f t="shared" si="0"/>
        <v>1</v>
      </c>
      <c r="F23" s="33">
        <v>1</v>
      </c>
      <c r="G23" s="33">
        <f>ROUND(prodnorm24,4)/60</f>
        <v>0</v>
      </c>
      <c r="H23" s="35">
        <f>ROUND(uurtarief24,2)</f>
        <v>0</v>
      </c>
      <c r="I23" s="33">
        <v>1</v>
      </c>
    </row>
    <row r="24" spans="1:9" x14ac:dyDescent="0.2">
      <c r="A24" s="20" t="s">
        <v>147</v>
      </c>
      <c r="B24" s="20" t="s">
        <v>18</v>
      </c>
      <c r="C24" s="20" t="s">
        <v>332</v>
      </c>
      <c r="D24" s="20" t="s">
        <v>140</v>
      </c>
      <c r="E24" s="33">
        <f t="shared" si="0"/>
        <v>1.5384615384615385E-2</v>
      </c>
      <c r="F24" s="33">
        <v>1</v>
      </c>
      <c r="G24" s="33">
        <f>ROUND(prodnorm25,4)/60</f>
        <v>0</v>
      </c>
      <c r="H24" s="35">
        <f>ROUND(uurtarief25,2)</f>
        <v>0</v>
      </c>
      <c r="I24" s="33">
        <v>1</v>
      </c>
    </row>
    <row r="25" spans="1:9" x14ac:dyDescent="0.2">
      <c r="A25" s="20" t="s">
        <v>149</v>
      </c>
      <c r="B25" s="20" t="s">
        <v>14</v>
      </c>
      <c r="C25" s="20" t="s">
        <v>332</v>
      </c>
      <c r="D25" s="20" t="s">
        <v>140</v>
      </c>
      <c r="E25" s="33">
        <f t="shared" si="0"/>
        <v>0.2</v>
      </c>
      <c r="F25" s="33">
        <v>1</v>
      </c>
      <c r="G25" s="33">
        <f>ROUND(prodnorm26,4)/60</f>
        <v>0</v>
      </c>
      <c r="H25" s="35">
        <f>ROUND(uurtarief26,2)</f>
        <v>0</v>
      </c>
      <c r="I25" s="33">
        <v>2</v>
      </c>
    </row>
    <row r="26" spans="1:9" x14ac:dyDescent="0.2">
      <c r="A26" s="20" t="s">
        <v>151</v>
      </c>
      <c r="B26" s="20" t="s">
        <v>14</v>
      </c>
      <c r="C26" s="20" t="s">
        <v>332</v>
      </c>
      <c r="D26" s="20" t="s">
        <v>140</v>
      </c>
      <c r="E26" s="33">
        <f t="shared" si="0"/>
        <v>0.2</v>
      </c>
      <c r="F26" s="33">
        <v>1</v>
      </c>
      <c r="G26" s="33">
        <f>ROUND(prodnorm27,4)/60</f>
        <v>0</v>
      </c>
      <c r="H26" s="35">
        <f>ROUND(uurtarief27,2)</f>
        <v>0</v>
      </c>
      <c r="I26" s="33">
        <v>1</v>
      </c>
    </row>
    <row r="27" spans="1:9" x14ac:dyDescent="0.2">
      <c r="A27" s="20" t="s">
        <v>153</v>
      </c>
      <c r="B27" s="20" t="s">
        <v>14</v>
      </c>
      <c r="C27" s="20" t="s">
        <v>332</v>
      </c>
      <c r="D27" s="20" t="s">
        <v>140</v>
      </c>
      <c r="E27" s="33">
        <f t="shared" si="0"/>
        <v>0.2</v>
      </c>
      <c r="F27" s="33">
        <v>1</v>
      </c>
      <c r="G27" s="33">
        <f>ROUND(prodnorm28,4)/60</f>
        <v>0</v>
      </c>
      <c r="H27" s="35">
        <f>ROUND(uurtarief28,2)</f>
        <v>0</v>
      </c>
      <c r="I27" s="33">
        <v>2</v>
      </c>
    </row>
    <row r="28" spans="1:9" x14ac:dyDescent="0.2">
      <c r="A28" s="25" t="s">
        <v>155</v>
      </c>
      <c r="B28" s="25" t="s">
        <v>14</v>
      </c>
      <c r="C28" s="25" t="s">
        <v>332</v>
      </c>
      <c r="D28" s="25" t="s">
        <v>140</v>
      </c>
      <c r="E28" s="37">
        <f t="shared" si="0"/>
        <v>0.2</v>
      </c>
      <c r="F28" s="37">
        <v>1</v>
      </c>
      <c r="G28" s="37">
        <f>ROUND(prodnorm29,4)/60</f>
        <v>0</v>
      </c>
      <c r="H28" s="39">
        <f>ROUND(uurtarief29,2)</f>
        <v>0</v>
      </c>
      <c r="I28" s="37">
        <v>1</v>
      </c>
    </row>
    <row r="29" spans="1:9" x14ac:dyDescent="0.2">
      <c r="A29" s="41" t="s">
        <v>157</v>
      </c>
      <c r="B29" s="42"/>
      <c r="C29" s="42"/>
      <c r="D29" s="42"/>
      <c r="E29" s="42"/>
      <c r="F29" s="42"/>
      <c r="G29" s="42"/>
      <c r="H29" s="42"/>
      <c r="I29" s="75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4CFF-1B17-48F2-A6A4-7D8872C0B0B6}">
  <dimension ref="A1:J12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8" width="12.125" customWidth="1"/>
    <col min="9" max="9" width="12.625" customWidth="1"/>
    <col min="10" max="10" width="13.625" customWidth="1"/>
  </cols>
  <sheetData>
    <row r="1" spans="1:10" x14ac:dyDescent="0.2">
      <c r="A1" s="1" t="str">
        <f>CONCATENATE("Bijlage I.4: ",tabeltype," objecten")</f>
        <v>Bijlage I.4: Invultabel objecten</v>
      </c>
    </row>
    <row r="3" spans="1:10" ht="38.25" x14ac:dyDescent="0.2">
      <c r="A3" s="8" t="s">
        <v>160</v>
      </c>
      <c r="B3" s="8" t="s">
        <v>333</v>
      </c>
      <c r="C3" s="8" t="s">
        <v>334</v>
      </c>
      <c r="D3" s="8" t="s">
        <v>335</v>
      </c>
      <c r="E3" s="8" t="s">
        <v>7</v>
      </c>
      <c r="F3" s="8" t="s">
        <v>336</v>
      </c>
      <c r="G3" s="8" t="s">
        <v>337</v>
      </c>
      <c r="H3" s="8" t="s">
        <v>338</v>
      </c>
      <c r="I3" s="8" t="s">
        <v>104</v>
      </c>
      <c r="J3" s="8" t="s">
        <v>339</v>
      </c>
    </row>
    <row r="4" spans="1:10" x14ac:dyDescent="0.2">
      <c r="A4" s="9"/>
      <c r="B4" s="10"/>
      <c r="C4" s="10"/>
      <c r="D4" s="10"/>
      <c r="E4" s="10"/>
      <c r="F4" s="10"/>
      <c r="G4" s="10"/>
      <c r="H4" s="10"/>
      <c r="I4" s="10"/>
      <c r="J4" s="11"/>
    </row>
    <row r="5" spans="1:10" x14ac:dyDescent="0.2">
      <c r="A5" s="12" t="s">
        <v>30</v>
      </c>
      <c r="B5" s="13"/>
      <c r="C5" s="13"/>
      <c r="D5" s="13"/>
      <c r="E5" s="13"/>
      <c r="F5" s="13"/>
      <c r="G5" s="13"/>
      <c r="H5" s="13"/>
      <c r="I5" s="13"/>
      <c r="J5" s="14"/>
    </row>
    <row r="6" spans="1:10" x14ac:dyDescent="0.2">
      <c r="A6" s="76" t="s">
        <v>169</v>
      </c>
      <c r="B6" s="76" t="s">
        <v>340</v>
      </c>
      <c r="C6" s="76" t="s">
        <v>341</v>
      </c>
      <c r="D6" s="76" t="s">
        <v>342</v>
      </c>
      <c r="E6" s="77" t="s">
        <v>9</v>
      </c>
      <c r="F6" s="78">
        <f>gemuurtarief1</f>
        <v>0</v>
      </c>
      <c r="G6" s="79">
        <f>SUMPRODUCT(taakfreqtabel1,uurfactortabel1,kengetaltabel1,object1_opptabel1)*(1/VLOOKUP(E6,dagsoorttabel1,2,FALSE))</f>
        <v>0</v>
      </c>
      <c r="H6" s="80">
        <f>SUMPRODUCT(taakfreqtabel1,kengetaltabel1,tarieftabel1,object1_opptabel1)*(1/VLOOKUP(E6,dagsoorttabel1,2,FALSE))</f>
        <v>0</v>
      </c>
      <c r="I6" s="79">
        <f>G6*dagenperjaar1*VLOOKUP(E6,dagsoorttabel1,2,FALSE)</f>
        <v>0</v>
      </c>
      <c r="J6" s="80">
        <f>H6*dagenperjaar1*VLOOKUP(E6,dagsoorttabel1,2,FALSE)</f>
        <v>0</v>
      </c>
    </row>
    <row r="7" spans="1:10" x14ac:dyDescent="0.2">
      <c r="A7" s="41" t="s">
        <v>157</v>
      </c>
      <c r="B7" s="42"/>
      <c r="C7" s="42"/>
      <c r="D7" s="42"/>
      <c r="E7" s="42"/>
      <c r="F7" s="42"/>
      <c r="G7" s="42"/>
      <c r="H7" s="42"/>
      <c r="I7" s="43">
        <f>SUM(I6:I6)</f>
        <v>0</v>
      </c>
      <c r="J7" s="45">
        <f>SUM(J6:J6)</f>
        <v>0</v>
      </c>
    </row>
    <row r="8" spans="1:10" x14ac:dyDescent="0.2">
      <c r="A8" s="46"/>
      <c r="B8" s="42"/>
      <c r="C8" s="42"/>
      <c r="D8" s="42"/>
      <c r="E8" s="42"/>
      <c r="F8" s="42"/>
      <c r="G8" s="42"/>
      <c r="H8" s="42"/>
      <c r="I8" s="42"/>
      <c r="J8" s="47"/>
    </row>
    <row r="10" spans="1:10" x14ac:dyDescent="0.2">
      <c r="A10" s="41" t="s">
        <v>343</v>
      </c>
      <c r="B10" s="42"/>
      <c r="C10" s="42"/>
      <c r="D10" s="42"/>
      <c r="E10" s="42"/>
      <c r="F10" s="42"/>
      <c r="G10" s="42"/>
      <c r="H10" s="42"/>
      <c r="I10" s="43">
        <f>urenjaartotaal1</f>
        <v>0</v>
      </c>
      <c r="J10" s="44">
        <f>prijsjaartotaal1</f>
        <v>0</v>
      </c>
    </row>
    <row r="12" spans="1:10" x14ac:dyDescent="0.2">
      <c r="A12" s="41" t="s">
        <v>344</v>
      </c>
      <c r="B12" s="42"/>
      <c r="C12" s="42"/>
      <c r="D12" s="42"/>
      <c r="E12" s="42"/>
      <c r="F12" s="42"/>
      <c r="G12" s="42"/>
      <c r="H12" s="42"/>
      <c r="I12" s="42"/>
      <c r="J12" s="44">
        <f>J10*1.21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65D9-991A-4B4C-A70B-38C2E955402D}">
  <dimension ref="A1:J2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</cols>
  <sheetData>
    <row r="1" spans="1:10" x14ac:dyDescent="0.2">
      <c r="A1" s="1" t="str">
        <f>CONCATENATE("Bijlage I.5: ",tabeltype," niet-meewerkende objectleiding")</f>
        <v>Bijlage I.5: Invultabel niet-meewerkende objectleiding</v>
      </c>
    </row>
    <row r="3" spans="1:10" ht="38.25" x14ac:dyDescent="0.2">
      <c r="A3" s="8" t="s">
        <v>345</v>
      </c>
      <c r="B3" s="8" t="s">
        <v>7</v>
      </c>
      <c r="C3" s="8" t="s">
        <v>346</v>
      </c>
      <c r="D3" s="8" t="s">
        <v>347</v>
      </c>
      <c r="E3" s="8" t="s">
        <v>348</v>
      </c>
      <c r="F3" s="8" t="s">
        <v>349</v>
      </c>
      <c r="G3" s="8" t="s">
        <v>350</v>
      </c>
      <c r="H3" s="8" t="s">
        <v>104</v>
      </c>
      <c r="I3" s="8" t="s">
        <v>351</v>
      </c>
      <c r="J3" s="8" t="s">
        <v>352</v>
      </c>
    </row>
    <row r="4" spans="1:10" x14ac:dyDescent="0.2">
      <c r="A4" s="81"/>
      <c r="B4" s="82"/>
      <c r="C4" s="82"/>
      <c r="D4" s="82"/>
      <c r="E4" s="82"/>
      <c r="F4" s="82"/>
      <c r="G4" s="82"/>
      <c r="H4" s="82"/>
      <c r="I4" s="82"/>
      <c r="J4" s="83"/>
    </row>
    <row r="5" spans="1:10" x14ac:dyDescent="0.2">
      <c r="A5" s="12" t="s">
        <v>30</v>
      </c>
      <c r="B5" s="13"/>
      <c r="C5" s="13"/>
      <c r="D5" s="13"/>
      <c r="E5" s="13"/>
      <c r="F5" s="13"/>
      <c r="G5" s="13"/>
      <c r="H5" s="13"/>
      <c r="I5" s="13"/>
      <c r="J5" s="14"/>
    </row>
    <row r="6" spans="1:10" x14ac:dyDescent="0.2">
      <c r="A6" s="9"/>
      <c r="B6" s="10"/>
      <c r="C6" s="10"/>
      <c r="D6" s="10"/>
      <c r="E6" s="10"/>
      <c r="F6" s="10"/>
      <c r="G6" s="10"/>
      <c r="H6" s="10"/>
      <c r="I6" s="10"/>
      <c r="J6" s="11"/>
    </row>
    <row r="7" spans="1:10" x14ac:dyDescent="0.2">
      <c r="A7" s="84" t="s">
        <v>168</v>
      </c>
      <c r="B7" s="13"/>
      <c r="C7" s="13"/>
      <c r="D7" s="13"/>
      <c r="E7" s="13"/>
      <c r="F7" s="13"/>
      <c r="G7" s="13"/>
      <c r="H7" s="13"/>
      <c r="I7" s="13"/>
      <c r="J7" s="14"/>
    </row>
    <row r="8" spans="1:10" x14ac:dyDescent="0.2">
      <c r="A8" s="15" t="s">
        <v>353</v>
      </c>
      <c r="B8" s="15" t="s">
        <v>9</v>
      </c>
      <c r="C8" s="16">
        <f>IF(ISBLANK(B8),0,IF(ISERROR(VALUE(B8)),VLOOKUP(B8,dagsoorttabel1,2,FALSE)*dagenperjaar1,VALUE(B8)))</f>
        <v>260</v>
      </c>
      <c r="D8" s="15" t="s">
        <v>354</v>
      </c>
      <c r="E8" s="19"/>
      <c r="F8" s="18"/>
      <c r="G8" s="85"/>
      <c r="H8" s="30">
        <f>IF(ISBLANK(G8),0,G8*C8)+IF(ISBLANK(F8),0,F8*objecturen1_1)</f>
        <v>0</v>
      </c>
      <c r="I8" s="30">
        <f>IF(C8=0,0,H8/C8)</f>
        <v>0</v>
      </c>
      <c r="J8" s="32">
        <f>IF(ISBLANK(E8),0,ROUND(E8,2)*H8)</f>
        <v>0</v>
      </c>
    </row>
    <row r="9" spans="1:10" x14ac:dyDescent="0.2">
      <c r="A9" s="20"/>
      <c r="B9" s="20"/>
      <c r="C9" s="86">
        <f>dagenperjaar1</f>
        <v>260</v>
      </c>
      <c r="D9" s="87" t="s">
        <v>355</v>
      </c>
      <c r="E9" s="24"/>
      <c r="F9" s="23"/>
      <c r="G9" s="88"/>
      <c r="H9" s="33">
        <f>IF(ISBLANK(G9),0,G9*C9)+IF(ISBLANK(F9),0,F9*objecturen1_1)</f>
        <v>0</v>
      </c>
      <c r="I9" s="33">
        <f>IF(C9=0,0,H9/C9)</f>
        <v>0</v>
      </c>
      <c r="J9" s="35">
        <f>IF(ISBLANK(E9),0,ROUND(E9,2)*H9)</f>
        <v>0</v>
      </c>
    </row>
    <row r="10" spans="1:10" x14ac:dyDescent="0.2">
      <c r="A10" s="20"/>
      <c r="B10" s="20"/>
      <c r="C10" s="86">
        <f>dagenperjaar1</f>
        <v>260</v>
      </c>
      <c r="D10" s="87" t="s">
        <v>355</v>
      </c>
      <c r="E10" s="24"/>
      <c r="F10" s="23"/>
      <c r="G10" s="88"/>
      <c r="H10" s="33">
        <f>IF(ISBLANK(G10),0,G10*C10)+IF(ISBLANK(F10),0,F10*objecturen1_1)</f>
        <v>0</v>
      </c>
      <c r="I10" s="33">
        <f>IF(C10=0,0,H10/C10)</f>
        <v>0</v>
      </c>
      <c r="J10" s="35">
        <f>IF(ISBLANK(E10),0,ROUND(E10,2)*H10)</f>
        <v>0</v>
      </c>
    </row>
    <row r="11" spans="1:10" x14ac:dyDescent="0.2">
      <c r="A11" s="20"/>
      <c r="B11" s="20"/>
      <c r="C11" s="86">
        <f>dagenperjaar1</f>
        <v>260</v>
      </c>
      <c r="D11" s="87" t="s">
        <v>356</v>
      </c>
      <c r="E11" s="24"/>
      <c r="F11" s="89"/>
      <c r="G11" s="22"/>
      <c r="H11" s="33">
        <f>IF(ISBLANK(G11),0,G11*C11)+IF(ISBLANK(F11),0,F11*objecturen1_1)</f>
        <v>0</v>
      </c>
      <c r="I11" s="33">
        <f>IF(C11=0,0,H11/C11)</f>
        <v>0</v>
      </c>
      <c r="J11" s="35">
        <f>IF(ISBLANK(E11),0,ROUND(E11,2)*H11)</f>
        <v>0</v>
      </c>
    </row>
    <row r="12" spans="1:10" x14ac:dyDescent="0.2">
      <c r="A12" s="25"/>
      <c r="B12" s="25"/>
      <c r="C12" s="90">
        <f>dagenperjaar1</f>
        <v>260</v>
      </c>
      <c r="D12" s="91" t="s">
        <v>356</v>
      </c>
      <c r="E12" s="29"/>
      <c r="F12" s="92"/>
      <c r="G12" s="27"/>
      <c r="H12" s="37">
        <f>IF(ISBLANK(G12),0,G12*C12)+IF(ISBLANK(F12),0,F12*objecturen1_1)</f>
        <v>0</v>
      </c>
      <c r="I12" s="37">
        <f>IF(C12=0,0,H12/C12)</f>
        <v>0</v>
      </c>
      <c r="J12" s="39">
        <f>IF(ISBLANK(E12),0,ROUND(E12,2)*H12)</f>
        <v>0</v>
      </c>
    </row>
    <row r="13" spans="1:10" x14ac:dyDescent="0.2">
      <c r="A13" s="93" t="s">
        <v>357</v>
      </c>
      <c r="B13" s="42"/>
      <c r="C13" s="42"/>
      <c r="D13" s="42"/>
      <c r="E13" s="42"/>
      <c r="F13" s="42"/>
      <c r="G13" s="42"/>
      <c r="H13" s="43">
        <f>SUM(H8:H12)</f>
        <v>0</v>
      </c>
      <c r="I13" s="42"/>
      <c r="J13" s="45">
        <f>SUM(J8:J12)</f>
        <v>0</v>
      </c>
    </row>
    <row r="14" spans="1:10" x14ac:dyDescent="0.2">
      <c r="A14" s="46"/>
      <c r="B14" s="42"/>
      <c r="C14" s="42"/>
      <c r="D14" s="42"/>
      <c r="E14" s="42"/>
      <c r="F14" s="42"/>
      <c r="G14" s="42"/>
      <c r="H14" s="42"/>
      <c r="I14" s="42"/>
      <c r="J14" s="47"/>
    </row>
    <row r="15" spans="1:10" x14ac:dyDescent="0.2">
      <c r="A15" s="41" t="s">
        <v>157</v>
      </c>
      <c r="B15" s="42"/>
      <c r="C15" s="42"/>
      <c r="D15" s="42"/>
      <c r="E15" s="42"/>
      <c r="F15" s="42"/>
      <c r="G15" s="42"/>
      <c r="H15" s="43">
        <f>tzujt1_1</f>
        <v>0</v>
      </c>
      <c r="I15" s="42"/>
      <c r="J15" s="45">
        <f>tzpjt1_1</f>
        <v>0</v>
      </c>
    </row>
    <row r="16" spans="1:10" x14ac:dyDescent="0.2">
      <c r="A16" s="46"/>
      <c r="B16" s="42"/>
      <c r="C16" s="42"/>
      <c r="D16" s="42"/>
      <c r="E16" s="42"/>
      <c r="F16" s="42"/>
      <c r="G16" s="42"/>
      <c r="H16" s="42"/>
      <c r="I16" s="42"/>
      <c r="J16" s="47"/>
    </row>
    <row r="18" spans="1:10" x14ac:dyDescent="0.2">
      <c r="A18" s="41" t="s">
        <v>358</v>
      </c>
      <c r="B18" s="42"/>
      <c r="C18" s="42"/>
      <c r="D18" s="42"/>
      <c r="E18" s="42"/>
      <c r="F18" s="42"/>
      <c r="G18" s="42"/>
      <c r="H18" s="43">
        <f>tzujt1</f>
        <v>0</v>
      </c>
      <c r="I18" s="42"/>
      <c r="J18" s="44">
        <f>tzpjt1</f>
        <v>0</v>
      </c>
    </row>
    <row r="20" spans="1:10" x14ac:dyDescent="0.2">
      <c r="A20" s="41" t="s">
        <v>359</v>
      </c>
      <c r="B20" s="42"/>
      <c r="C20" s="42"/>
      <c r="D20" s="42"/>
      <c r="E20" s="42"/>
      <c r="F20" s="42"/>
      <c r="G20" s="42"/>
      <c r="H20" s="42"/>
      <c r="I20" s="42"/>
      <c r="J20" s="44">
        <f>J18*1.21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BAF9-F212-4202-A7B4-0CEAACA20E48}">
  <dimension ref="A1:J6"/>
  <sheetViews>
    <sheetView workbookViewId="0">
      <selection activeCell="A17" sqref="A17"/>
    </sheetView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5" width="12.625" customWidth="1"/>
    <col min="6" max="10" width="13.625" customWidth="1"/>
  </cols>
  <sheetData>
    <row r="1" spans="1:10" x14ac:dyDescent="0.2">
      <c r="A1" s="1" t="str">
        <f>CONCATENATE("Bijlage I.6: ",tabeltype," totaalblad objecten")</f>
        <v>Bijlage I.6: Invultabel totaalblad objecten</v>
      </c>
    </row>
    <row r="3" spans="1:10" ht="38.25" x14ac:dyDescent="0.2">
      <c r="A3" s="8" t="s">
        <v>160</v>
      </c>
      <c r="B3" s="8" t="s">
        <v>333</v>
      </c>
      <c r="C3" s="8" t="s">
        <v>334</v>
      </c>
      <c r="D3" s="8" t="s">
        <v>335</v>
      </c>
      <c r="E3" s="8" t="s">
        <v>104</v>
      </c>
      <c r="F3" s="8" t="s">
        <v>360</v>
      </c>
      <c r="G3" s="8" t="s">
        <v>361</v>
      </c>
      <c r="H3" s="8" t="s">
        <v>362</v>
      </c>
      <c r="I3" s="8" t="s">
        <v>363</v>
      </c>
      <c r="J3" s="8" t="s">
        <v>364</v>
      </c>
    </row>
    <row r="4" spans="1:10" x14ac:dyDescent="0.2">
      <c r="A4" s="76" t="s">
        <v>169</v>
      </c>
      <c r="B4" s="76" t="s">
        <v>340</v>
      </c>
      <c r="C4" s="76" t="s">
        <v>341</v>
      </c>
      <c r="D4" s="76" t="s">
        <v>342</v>
      </c>
      <c r="E4" s="79">
        <f>objecturen1_1</f>
        <v>0</v>
      </c>
      <c r="F4" s="80">
        <f>objectprijs1_1</f>
        <v>0</v>
      </c>
      <c r="G4" s="79">
        <f>tzujt1_1</f>
        <v>0</v>
      </c>
      <c r="H4" s="80">
        <f>tzpjt1_1</f>
        <v>0</v>
      </c>
      <c r="I4" s="80">
        <f>F4+H4</f>
        <v>0</v>
      </c>
      <c r="J4" s="80">
        <f>I4*1.21</f>
        <v>0</v>
      </c>
    </row>
    <row r="6" spans="1:10" x14ac:dyDescent="0.2">
      <c r="A6" s="41" t="s">
        <v>365</v>
      </c>
      <c r="B6" s="42"/>
      <c r="C6" s="42"/>
      <c r="D6" s="42"/>
      <c r="E6" s="43">
        <f t="shared" ref="E6:J6" si="0">SUM(E4:E4)</f>
        <v>0</v>
      </c>
      <c r="F6" s="44">
        <f t="shared" si="0"/>
        <v>0</v>
      </c>
      <c r="G6" s="43">
        <f t="shared" si="0"/>
        <v>0</v>
      </c>
      <c r="H6" s="44">
        <f t="shared" si="0"/>
        <v>0</v>
      </c>
      <c r="I6" s="44">
        <f t="shared" si="0"/>
        <v>0</v>
      </c>
      <c r="J6" s="44">
        <f t="shared" si="0"/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FA8E-77CC-4395-999E-36574BB28F31}">
  <dimension ref="A1:K11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</cols>
  <sheetData>
    <row r="1" spans="1:11" x14ac:dyDescent="0.2">
      <c r="A1" s="1" t="str">
        <f>CONCATENATE("Bijlage I.7: ",tabeltype," afroep")</f>
        <v>Bijlage I.7: Invultabel afroep</v>
      </c>
    </row>
    <row r="3" spans="1:11" ht="38.25" x14ac:dyDescent="0.2">
      <c r="A3" s="8" t="s">
        <v>366</v>
      </c>
      <c r="B3" s="8" t="s">
        <v>7</v>
      </c>
      <c r="C3" s="8" t="s">
        <v>367</v>
      </c>
      <c r="D3" s="8" t="s">
        <v>25</v>
      </c>
      <c r="E3" s="8" t="s">
        <v>28</v>
      </c>
      <c r="F3" s="8" t="s">
        <v>368</v>
      </c>
      <c r="G3" s="8" t="s">
        <v>369</v>
      </c>
      <c r="H3" s="8" t="s">
        <v>370</v>
      </c>
      <c r="I3" s="8" t="s">
        <v>371</v>
      </c>
      <c r="J3" s="8" t="s">
        <v>372</v>
      </c>
      <c r="K3" s="8" t="s">
        <v>105</v>
      </c>
    </row>
    <row r="4" spans="1:1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2">
      <c r="A5" s="12" t="s">
        <v>373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15" t="s">
        <v>374</v>
      </c>
      <c r="B6" s="15" t="s">
        <v>17</v>
      </c>
      <c r="C6" s="16">
        <f>IF(ISBLANK(B6),0,IF(ISERROR(VALUE(B6)),VLOOKUP(B6,dagsoorttabel1,2,FALSE)*dagenperjaar1,VALUE(B6)))</f>
        <v>6</v>
      </c>
      <c r="D6" s="15" t="s">
        <v>375</v>
      </c>
      <c r="E6" s="15" t="s">
        <v>376</v>
      </c>
      <c r="F6" s="94">
        <v>1000</v>
      </c>
      <c r="G6" s="19"/>
      <c r="H6" s="95"/>
      <c r="I6" s="19"/>
      <c r="J6" s="32">
        <f>IF(ISBLANK(F6),0,F6)*I6</f>
        <v>0</v>
      </c>
      <c r="K6" s="32">
        <f>C6*J6</f>
        <v>0</v>
      </c>
    </row>
    <row r="7" spans="1:11" x14ac:dyDescent="0.2">
      <c r="A7" s="20" t="s">
        <v>377</v>
      </c>
      <c r="B7" s="20" t="s">
        <v>21</v>
      </c>
      <c r="C7" s="21">
        <f>IF(ISBLANK(B7),0,IF(ISERROR(VALUE(B7)),VLOOKUP(B7,dagsoorttabel1,2,FALSE)*dagenperjaar1,VALUE(B7)))</f>
        <v>1</v>
      </c>
      <c r="D7" s="20" t="s">
        <v>378</v>
      </c>
      <c r="E7" s="20" t="s">
        <v>376</v>
      </c>
      <c r="F7" s="96">
        <v>350</v>
      </c>
      <c r="G7" s="24"/>
      <c r="H7" s="97"/>
      <c r="I7" s="24"/>
      <c r="J7" s="35">
        <f>IF(ISBLANK(F7),0,F7)*I7</f>
        <v>0</v>
      </c>
      <c r="K7" s="35">
        <f>C7*J7</f>
        <v>0</v>
      </c>
    </row>
    <row r="8" spans="1:11" x14ac:dyDescent="0.2">
      <c r="A8" s="25" t="s">
        <v>379</v>
      </c>
      <c r="B8" s="25" t="s">
        <v>17</v>
      </c>
      <c r="C8" s="26">
        <f>IF(ISBLANK(B8),0,IF(ISERROR(VALUE(B8)),VLOOKUP(B8,dagsoorttabel1,2,FALSE)*dagenperjaar1,VALUE(B8)))</f>
        <v>6</v>
      </c>
      <c r="D8" s="25" t="s">
        <v>380</v>
      </c>
      <c r="E8" s="25" t="s">
        <v>376</v>
      </c>
      <c r="F8" s="98">
        <v>35</v>
      </c>
      <c r="G8" s="29"/>
      <c r="H8" s="99"/>
      <c r="I8" s="29"/>
      <c r="J8" s="39">
        <f>IF(ISBLANK(F8),0,F8)*I8</f>
        <v>0</v>
      </c>
      <c r="K8" s="39">
        <f>C8*J8</f>
        <v>0</v>
      </c>
    </row>
    <row r="9" spans="1:11" x14ac:dyDescent="0.2">
      <c r="A9" s="41" t="s">
        <v>381</v>
      </c>
      <c r="B9" s="42"/>
      <c r="C9" s="42"/>
      <c r="D9" s="42"/>
      <c r="E9" s="42"/>
      <c r="F9" s="42"/>
      <c r="G9" s="42"/>
      <c r="H9" s="42"/>
      <c r="I9" s="42"/>
      <c r="J9" s="42"/>
      <c r="K9" s="44">
        <f>SUM(K6:K8)</f>
        <v>0</v>
      </c>
    </row>
    <row r="11" spans="1:11" x14ac:dyDescent="0.2">
      <c r="A11" s="41" t="s">
        <v>382</v>
      </c>
      <c r="B11" s="42"/>
      <c r="C11" s="42"/>
      <c r="D11" s="42"/>
      <c r="E11" s="42"/>
      <c r="F11" s="42"/>
      <c r="G11" s="42"/>
      <c r="H11" s="42"/>
      <c r="I11" s="42"/>
      <c r="J11" s="42"/>
      <c r="K11" s="44">
        <f>prijsjaarafroep3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&amp;LStichting Waterproef                                        &amp;ROpmaakdatum: 29-04-2022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227</vt:i4>
      </vt:variant>
    </vt:vector>
  </HeadingPairs>
  <TitlesOfParts>
    <vt:vector size="241" baseType="lpstr">
      <vt:lpstr>Omreken</vt:lpstr>
      <vt:lpstr>Categorienormen</vt:lpstr>
      <vt:lpstr>Regulier werk</vt:lpstr>
      <vt:lpstr>Ruimten werkdag</vt:lpstr>
      <vt:lpstr>Objectinformatie</vt:lpstr>
      <vt:lpstr>Objecten</vt:lpstr>
      <vt:lpstr>Niet-meewerkende objectleiding</vt:lpstr>
      <vt:lpstr>Totaalblad Objecten</vt:lpstr>
      <vt:lpstr>Afroep</vt:lpstr>
      <vt:lpstr>Afroep incidenteel</vt:lpstr>
      <vt:lpstr>Regiewerk</vt:lpstr>
      <vt:lpstr>Glas</vt:lpstr>
      <vt:lpstr>Glas per locatie</vt:lpstr>
      <vt:lpstr>Totaal</vt:lpstr>
      <vt:lpstr>Afroep!Afdruktitels</vt:lpstr>
      <vt:lpstr>'Afroep incidenteel'!Afdruktitels</vt:lpstr>
      <vt:lpstr>Categorienormen!Afdruktitels</vt:lpstr>
      <vt:lpstr>Glas!Afdruktitels</vt:lpstr>
      <vt:lpstr>'Glas per locatie'!Afdruktitels</vt:lpstr>
      <vt:lpstr>'Niet-meewerkende objectleiding'!Afdruktitels</vt:lpstr>
      <vt:lpstr>Objecten!Afdruktitels</vt:lpstr>
      <vt:lpstr>Objectinformatie!Afdruktitels</vt:lpstr>
      <vt:lpstr>Regiewerk!Afdruktitels</vt:lpstr>
      <vt:lpstr>'Regulier werk'!Afdruktitels</vt:lpstr>
      <vt:lpstr>'Ruimten werkdag'!Afdruktitels</vt:lpstr>
      <vt:lpstr>Totaal!Afdruktitels</vt:lpstr>
      <vt:lpstr>'Totaalblad Objecten'!Afdruktitels</vt:lpstr>
      <vt:lpstr>catdw_1_BHB_1</vt:lpstr>
      <vt:lpstr>catdw_1_BHV_51</vt:lpstr>
      <vt:lpstr>catdw_1_BZB_1</vt:lpstr>
      <vt:lpstr>catdw_1_BZV_51</vt:lpstr>
      <vt:lpstr>catdw_1_DHB_1</vt:lpstr>
      <vt:lpstr>catdw_1_DHV_51</vt:lpstr>
      <vt:lpstr>catdw_1_EZB_1</vt:lpstr>
      <vt:lpstr>catdw_1_EZV_51</vt:lpstr>
      <vt:lpstr>catdw_1_IHB_1</vt:lpstr>
      <vt:lpstr>catdw_1_IHV_51</vt:lpstr>
      <vt:lpstr>catdw_1_KHB_1</vt:lpstr>
      <vt:lpstr>catdw_1_KHV_51</vt:lpstr>
      <vt:lpstr>catdw_1_LHB_1</vt:lpstr>
      <vt:lpstr>catdw_1_LHV_51</vt:lpstr>
      <vt:lpstr>catdw_1_QHB_1</vt:lpstr>
      <vt:lpstr>catdw_1_QHV_51</vt:lpstr>
      <vt:lpstr>catdw_1_RHB_1</vt:lpstr>
      <vt:lpstr>catdw_1_RHV_51</vt:lpstr>
      <vt:lpstr>catdw_1_SHB_1</vt:lpstr>
      <vt:lpstr>catdw_1_SHV_51</vt:lpstr>
      <vt:lpstr>catdw_1_THB_1</vt:lpstr>
      <vt:lpstr>catdw_1_THV_51</vt:lpstr>
      <vt:lpstr>catdw_1_TZB_1</vt:lpstr>
      <vt:lpstr>catdw_1_TZV_51</vt:lpstr>
      <vt:lpstr>catdw_1_VHB_1</vt:lpstr>
      <vt:lpstr>catdw_1_VHV_51</vt:lpstr>
      <vt:lpstr>catdw_1_VZB_1</vt:lpstr>
      <vt:lpstr>catdw_1_VZV_51</vt:lpstr>
      <vt:lpstr>catdw_1_WZB_1</vt:lpstr>
      <vt:lpstr>catdw_1_WZV_51</vt:lpstr>
      <vt:lpstr>catdw_1_XBB_1</vt:lpstr>
      <vt:lpstr>catfd_1_BHB_1</vt:lpstr>
      <vt:lpstr>catfd_1_BHV_51</vt:lpstr>
      <vt:lpstr>catfd_1_BZB_1</vt:lpstr>
      <vt:lpstr>catfd_1_BZV_51</vt:lpstr>
      <vt:lpstr>catfd_1_DHB_1</vt:lpstr>
      <vt:lpstr>catfd_1_DHV_51</vt:lpstr>
      <vt:lpstr>catfd_1_EZB_1</vt:lpstr>
      <vt:lpstr>catfd_1_EZV_51</vt:lpstr>
      <vt:lpstr>catfd_1_IHB_1</vt:lpstr>
      <vt:lpstr>catfd_1_IHV_51</vt:lpstr>
      <vt:lpstr>catfd_1_KHB_1</vt:lpstr>
      <vt:lpstr>catfd_1_KHV_51</vt:lpstr>
      <vt:lpstr>catfd_1_LHB_1</vt:lpstr>
      <vt:lpstr>catfd_1_LHV_51</vt:lpstr>
      <vt:lpstr>catfd_1_QHB_1</vt:lpstr>
      <vt:lpstr>catfd_1_QHV_51</vt:lpstr>
      <vt:lpstr>catfd_1_RHB_1</vt:lpstr>
      <vt:lpstr>catfd_1_RHV_51</vt:lpstr>
      <vt:lpstr>catfd_1_SHB_1</vt:lpstr>
      <vt:lpstr>catfd_1_SHV_51</vt:lpstr>
      <vt:lpstr>catfd_1_THB_1</vt:lpstr>
      <vt:lpstr>catfd_1_THV_51</vt:lpstr>
      <vt:lpstr>catfd_1_TZB_1</vt:lpstr>
      <vt:lpstr>catfd_1_TZV_51</vt:lpstr>
      <vt:lpstr>catfd_1_VHB_1</vt:lpstr>
      <vt:lpstr>catfd_1_VHV_51</vt:lpstr>
      <vt:lpstr>catfd_1_VZB_1</vt:lpstr>
      <vt:lpstr>catfd_1_VZV_51</vt:lpstr>
      <vt:lpstr>catfd_1_WZB_1</vt:lpstr>
      <vt:lpstr>catfd_1_WZV_51</vt:lpstr>
      <vt:lpstr>catfd_1_XBB_1</vt:lpstr>
      <vt:lpstr>catpn_1_BHB_1</vt:lpstr>
      <vt:lpstr>catpn_1_BHV_51</vt:lpstr>
      <vt:lpstr>catpn_1_BZB_1</vt:lpstr>
      <vt:lpstr>catpn_1_BZV_51</vt:lpstr>
      <vt:lpstr>catpn_1_DHB_1</vt:lpstr>
      <vt:lpstr>catpn_1_DHV_51</vt:lpstr>
      <vt:lpstr>catpn_1_EZB_1</vt:lpstr>
      <vt:lpstr>catpn_1_EZV_51</vt:lpstr>
      <vt:lpstr>catpn_1_IHB_1</vt:lpstr>
      <vt:lpstr>catpn_1_IHV_51</vt:lpstr>
      <vt:lpstr>catpn_1_KHB_1</vt:lpstr>
      <vt:lpstr>catpn_1_KHV_51</vt:lpstr>
      <vt:lpstr>catpn_1_LHB_1</vt:lpstr>
      <vt:lpstr>catpn_1_LHV_51</vt:lpstr>
      <vt:lpstr>catpn_1_QHB_1</vt:lpstr>
      <vt:lpstr>catpn_1_QHV_51</vt:lpstr>
      <vt:lpstr>catpn_1_RHB_1</vt:lpstr>
      <vt:lpstr>catpn_1_RHV_51</vt:lpstr>
      <vt:lpstr>catpn_1_SHB_1</vt:lpstr>
      <vt:lpstr>catpn_1_SHV_51</vt:lpstr>
      <vt:lpstr>catpn_1_THB_1</vt:lpstr>
      <vt:lpstr>catpn_1_THV_51</vt:lpstr>
      <vt:lpstr>catpn_1_TZB_1</vt:lpstr>
      <vt:lpstr>catpn_1_TZV_51</vt:lpstr>
      <vt:lpstr>catpn_1_VHB_1</vt:lpstr>
      <vt:lpstr>catpn_1_VHV_51</vt:lpstr>
      <vt:lpstr>catpn_1_VZB_1</vt:lpstr>
      <vt:lpstr>catpn_1_VZV_51</vt:lpstr>
      <vt:lpstr>catpn_1_WZB_1</vt:lpstr>
      <vt:lpstr>catpn_1_WZV_51</vt:lpstr>
      <vt:lpstr>catpn_1_XBB_1</vt:lpstr>
      <vt:lpstr>cattf_1_BHB_1</vt:lpstr>
      <vt:lpstr>cattf_1_BHV_51</vt:lpstr>
      <vt:lpstr>cattf_1_BZB_1</vt:lpstr>
      <vt:lpstr>cattf_1_BZV_51</vt:lpstr>
      <vt:lpstr>cattf_1_DHB_1</vt:lpstr>
      <vt:lpstr>cattf_1_DHV_51</vt:lpstr>
      <vt:lpstr>cattf_1_EZB_1</vt:lpstr>
      <vt:lpstr>cattf_1_EZV_51</vt:lpstr>
      <vt:lpstr>cattf_1_IHB_1</vt:lpstr>
      <vt:lpstr>cattf_1_IHV_51</vt:lpstr>
      <vt:lpstr>cattf_1_KHB_1</vt:lpstr>
      <vt:lpstr>cattf_1_KHV_51</vt:lpstr>
      <vt:lpstr>cattf_1_LHB_1</vt:lpstr>
      <vt:lpstr>cattf_1_LHV_51</vt:lpstr>
      <vt:lpstr>cattf_1_QHB_1</vt:lpstr>
      <vt:lpstr>cattf_1_QHV_51</vt:lpstr>
      <vt:lpstr>cattf_1_RHB_1</vt:lpstr>
      <vt:lpstr>cattf_1_RHV_51</vt:lpstr>
      <vt:lpstr>cattf_1_SHB_1</vt:lpstr>
      <vt:lpstr>cattf_1_SHV_51</vt:lpstr>
      <vt:lpstr>cattf_1_THB_1</vt:lpstr>
      <vt:lpstr>cattf_1_THV_51</vt:lpstr>
      <vt:lpstr>cattf_1_TZB_1</vt:lpstr>
      <vt:lpstr>cattf_1_TZV_51</vt:lpstr>
      <vt:lpstr>cattf_1_VHB_1</vt:lpstr>
      <vt:lpstr>cattf_1_VHV_51</vt:lpstr>
      <vt:lpstr>cattf_1_VZB_1</vt:lpstr>
      <vt:lpstr>cattf_1_VZV_51</vt:lpstr>
      <vt:lpstr>cattf_1_WZB_1</vt:lpstr>
      <vt:lpstr>cattf_1_WZV_51</vt:lpstr>
      <vt:lpstr>cattf_1_XBB_1</vt:lpstr>
      <vt:lpstr>dagenperjaar1</vt:lpstr>
      <vt:lpstr>dagenperweek1</vt:lpstr>
      <vt:lpstr>dagsoorttabel1</vt:lpstr>
      <vt:lpstr>gemuurtarief1</vt:lpstr>
      <vt:lpstr>kengetaltabel1</vt:lpstr>
      <vt:lpstr>object1_gemuurtarief1</vt:lpstr>
      <vt:lpstr>object1_opptabel1</vt:lpstr>
      <vt:lpstr>object1_prijsdag1</vt:lpstr>
      <vt:lpstr>object1_prijsjaar1</vt:lpstr>
      <vt:lpstr>object1_urendag1</vt:lpstr>
      <vt:lpstr>object1_urenjaar1</vt:lpstr>
      <vt:lpstr>objectprijs1_1</vt:lpstr>
      <vt:lpstr>objecturen1_1</vt:lpstr>
      <vt:lpstr>prijsdag1</vt:lpstr>
      <vt:lpstr>prijsjaar</vt:lpstr>
      <vt:lpstr>prijsjaar1</vt:lpstr>
      <vt:lpstr>prijsjaarafroep</vt:lpstr>
      <vt:lpstr>prijsjaarafroep3</vt:lpstr>
      <vt:lpstr>prijsjaarglas</vt:lpstr>
      <vt:lpstr>prijsjaarglas1</vt:lpstr>
      <vt:lpstr>prijsjaarnietmeewerkend</vt:lpstr>
      <vt:lpstr>prijsjaarregie</vt:lpstr>
      <vt:lpstr>prijsjaarregie1</vt:lpstr>
      <vt:lpstr>prijsjaarregie3</vt:lpstr>
      <vt:lpstr>prijsjaartotaal</vt:lpstr>
      <vt:lpstr>prijsjaartotaal1</vt:lpstr>
      <vt:lpstr>prijsjaartotaaloverzicht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prodnorm6</vt:lpstr>
      <vt:lpstr>prodnorm7</vt:lpstr>
      <vt:lpstr>prodnorm8</vt:lpstr>
      <vt:lpstr>prodnorm9</vt:lpstr>
      <vt:lpstr>taakfreqtabel1</vt:lpstr>
      <vt:lpstr>tabeltype</vt:lpstr>
      <vt:lpstr>tarieftabel1</vt:lpstr>
      <vt:lpstr>tzpjt1</vt:lpstr>
      <vt:lpstr>tzpjt1_1</vt:lpstr>
      <vt:lpstr>tzujt1</vt:lpstr>
      <vt:lpstr>tzujt1_1</vt:lpstr>
      <vt:lpstr>urendag1</vt:lpstr>
      <vt:lpstr>urenjaar</vt:lpstr>
      <vt:lpstr>urenjaar1</vt:lpstr>
      <vt:lpstr>urenjaarnietmeewerkend</vt:lpstr>
      <vt:lpstr>urenjaartotaal</vt:lpstr>
      <vt:lpstr>urenjaartotaal1</vt:lpstr>
      <vt:lpstr>urenjaartotaaloverzicht</vt:lpstr>
      <vt:lpstr>uurfactortabel1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uurtarief6</vt:lpstr>
      <vt:lpstr>uurtarief7</vt:lpstr>
      <vt:lpstr>uurtarief8</vt:lpstr>
      <vt:lpstr>uurtarief9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2022-04-29T13:46:38Z</dcterms:created>
  <dcterms:modified xsi:type="dcterms:W3CDTF">2022-05-09T04:56:35Z</dcterms:modified>
</cp:coreProperties>
</file>