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Q:\N_Proj\279.34  Meijel - Asten km 18.400 - 28.500\2. ONTWERP EN BESTEK\Contract 100%(210907)\1e NvI\1e NvI definitief(211007)\"/>
    </mc:Choice>
  </mc:AlternateContent>
  <bookViews>
    <workbookView xWindow="0" yWindow="0" windowWidth="23040" windowHeight="9750"/>
  </bookViews>
  <sheets>
    <sheet name="Sheet1" sheetId="1" r:id="rId1"/>
    <sheet name="Sheet2" sheetId="2" r:id="rId2"/>
  </sheets>
  <definedNames>
    <definedName name="_xlnm._FilterDatabase" localSheetId="0" hidden="1">Sheet1!$A$25:$J$120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9" i="1" l="1"/>
  <c r="F97" i="1"/>
  <c r="H102" i="1"/>
  <c r="H85" i="1"/>
  <c r="H27" i="1"/>
  <c r="H28" i="1"/>
  <c r="H51" i="1"/>
  <c r="H52" i="1"/>
  <c r="H77" i="1"/>
  <c r="I115" i="1"/>
  <c r="O8" i="1"/>
  <c r="O11" i="1"/>
  <c r="O13" i="1"/>
  <c r="O10" i="1"/>
  <c r="O9" i="1"/>
  <c r="O7" i="1"/>
  <c r="O5" i="1"/>
  <c r="O4" i="1"/>
  <c r="O3" i="1"/>
  <c r="O2" i="1"/>
  <c r="I28" i="1"/>
  <c r="I41" i="1"/>
  <c r="I27" i="1"/>
  <c r="H120" i="1"/>
  <c r="H55" i="1"/>
  <c r="F4" i="2"/>
  <c r="D6" i="2"/>
  <c r="E4" i="2"/>
  <c r="I84" i="1"/>
  <c r="G4" i="2"/>
  <c r="I44" i="1"/>
  <c r="K15" i="1"/>
  <c r="K20" i="1"/>
  <c r="L20" i="1"/>
  <c r="H72" i="1"/>
  <c r="H70" i="1"/>
  <c r="I39" i="1"/>
  <c r="I56" i="1"/>
  <c r="F48" i="1"/>
  <c r="H107" i="1"/>
  <c r="H119" i="1"/>
  <c r="H117" i="1"/>
  <c r="H63" i="1"/>
  <c r="H39" i="1"/>
  <c r="H106" i="1" l="1"/>
  <c r="H108" i="1"/>
  <c r="H115" i="1"/>
  <c r="I76" i="1"/>
  <c r="I90" i="1"/>
  <c r="I109" i="1"/>
  <c r="I43" i="1"/>
  <c r="H76" i="1"/>
  <c r="H90" i="1"/>
  <c r="H109" i="1"/>
  <c r="H43" i="1"/>
  <c r="I88" i="1"/>
  <c r="I89" i="1"/>
  <c r="I73" i="1"/>
  <c r="I96" i="1"/>
  <c r="I75" i="1"/>
  <c r="I74" i="1"/>
  <c r="I42" i="1"/>
  <c r="I87" i="1"/>
  <c r="H87" i="1"/>
  <c r="H88" i="1"/>
  <c r="H89" i="1"/>
  <c r="H73" i="1"/>
  <c r="H96" i="1"/>
  <c r="H75" i="1"/>
  <c r="H74" i="1"/>
  <c r="H42" i="1"/>
  <c r="I103" i="1"/>
  <c r="I53" i="1"/>
  <c r="I86" i="1"/>
  <c r="H103" i="1"/>
  <c r="H53" i="1"/>
  <c r="H86" i="1"/>
  <c r="I29" i="1"/>
  <c r="J20" i="1"/>
  <c r="H29" i="1" s="1"/>
  <c r="F49" i="1"/>
  <c r="I119" i="1"/>
  <c r="I120" i="1"/>
  <c r="I106" i="1"/>
  <c r="H30" i="1"/>
  <c r="K11" i="1"/>
  <c r="I107" i="1"/>
  <c r="I108" i="1"/>
  <c r="I51" i="1"/>
  <c r="I52" i="1"/>
  <c r="I55" i="1"/>
  <c r="I57" i="1"/>
  <c r="I63" i="1"/>
  <c r="I65" i="1"/>
  <c r="I70" i="1"/>
  <c r="I72" i="1"/>
  <c r="I77" i="1"/>
  <c r="I85" i="1"/>
  <c r="I117" i="1"/>
  <c r="I116" i="1"/>
  <c r="F112" i="1"/>
  <c r="F111" i="1"/>
  <c r="F110" i="1"/>
  <c r="F99" i="1"/>
  <c r="F98" i="1"/>
  <c r="F81" i="1"/>
  <c r="F93" i="1"/>
  <c r="F92" i="1"/>
  <c r="F91" i="1"/>
  <c r="F80" i="1"/>
  <c r="F79" i="1"/>
  <c r="F78" i="1"/>
  <c r="I48" i="1"/>
  <c r="F47" i="1"/>
  <c r="F46" i="1"/>
  <c r="F45" i="1"/>
  <c r="F44" i="1"/>
  <c r="H100" i="1"/>
  <c r="H94" i="1"/>
  <c r="H82" i="1"/>
  <c r="H49" i="1"/>
  <c r="H114" i="1"/>
  <c r="H104" i="1"/>
  <c r="H68" i="1"/>
  <c r="H67" i="1"/>
  <c r="H66" i="1"/>
  <c r="H61" i="1"/>
  <c r="H59" i="1"/>
  <c r="H58" i="1"/>
  <c r="H54" i="1"/>
  <c r="H37" i="1"/>
  <c r="H35" i="1"/>
  <c r="H33" i="1"/>
  <c r="H32" i="1"/>
  <c r="I104" i="1"/>
  <c r="H65" i="1"/>
  <c r="H57" i="1"/>
  <c r="H41" i="1"/>
  <c r="I82" i="1" l="1"/>
  <c r="I100" i="1"/>
  <c r="I94" i="1"/>
  <c r="I114" i="1"/>
  <c r="I68" i="1"/>
  <c r="I35" i="1"/>
  <c r="I54" i="1"/>
  <c r="I58" i="1"/>
  <c r="I59" i="1"/>
  <c r="I30" i="1"/>
  <c r="I61" i="1"/>
  <c r="I32" i="1"/>
  <c r="I66" i="1"/>
  <c r="I33" i="1"/>
  <c r="I67" i="1"/>
  <c r="I37" i="1"/>
  <c r="I31" i="1" l="1"/>
  <c r="I34" i="1"/>
  <c r="I36" i="1"/>
  <c r="I38" i="1"/>
  <c r="I105" i="1"/>
  <c r="I71" i="1"/>
  <c r="I69" i="1"/>
  <c r="I64" i="1"/>
  <c r="I62" i="1"/>
  <c r="I60" i="1"/>
  <c r="I40" i="1"/>
  <c r="H31" i="1"/>
  <c r="H34" i="1"/>
  <c r="H36" i="1"/>
  <c r="H38" i="1"/>
  <c r="H116" i="1"/>
  <c r="H105" i="1"/>
  <c r="H71" i="1"/>
  <c r="H69" i="1"/>
  <c r="H64" i="1"/>
  <c r="H62" i="1"/>
  <c r="H60" i="1"/>
  <c r="H56" i="1"/>
  <c r="H40" i="1"/>
  <c r="K3" i="1"/>
  <c r="I102" i="1" s="1"/>
  <c r="K6" i="1"/>
  <c r="K5" i="1"/>
  <c r="I110" i="1"/>
  <c r="I99" i="1"/>
  <c r="I98" i="1"/>
  <c r="I97" i="1"/>
  <c r="I78" i="1"/>
  <c r="H112" i="1"/>
  <c r="H111" i="1"/>
  <c r="H110" i="1"/>
  <c r="H99" i="1"/>
  <c r="H98" i="1"/>
  <c r="H97" i="1"/>
  <c r="H92" i="1"/>
  <c r="H93" i="1"/>
  <c r="H91" i="1"/>
  <c r="H79" i="1"/>
  <c r="H80" i="1"/>
  <c r="H81" i="1"/>
  <c r="H78" i="1"/>
  <c r="H45" i="1"/>
  <c r="H46" i="1"/>
  <c r="H47" i="1"/>
  <c r="H48" i="1"/>
  <c r="H44" i="1"/>
  <c r="I111" i="1"/>
  <c r="I112" i="1"/>
  <c r="I93" i="1"/>
  <c r="I92" i="1"/>
  <c r="I91" i="1"/>
  <c r="I81" i="1"/>
  <c r="I80" i="1"/>
  <c r="I79" i="1"/>
  <c r="I49" i="1"/>
  <c r="I24" i="1" s="1"/>
  <c r="I47" i="1"/>
  <c r="I46" i="1"/>
  <c r="I45" i="1"/>
  <c r="O12" i="1" l="1"/>
  <c r="O15" i="1" s="1"/>
</calcChain>
</file>

<file path=xl/sharedStrings.xml><?xml version="1.0" encoding="utf-8"?>
<sst xmlns="http://schemas.openxmlformats.org/spreadsheetml/2006/main" count="504" uniqueCount="151">
  <si>
    <t>Materiaal</t>
  </si>
  <si>
    <t>kg co2</t>
  </si>
  <si>
    <t>per</t>
  </si>
  <si>
    <t>opmerking</t>
  </si>
  <si>
    <t>Categorie</t>
  </si>
  <si>
    <t>CO2 ton</t>
  </si>
  <si>
    <t>Funderingslaag Menggranulaat 250mm</t>
  </si>
  <si>
    <t>m2</t>
  </si>
  <si>
    <t>Asfalt toplaag</t>
  </si>
  <si>
    <t>Extrp. Funderingslaag Menggranulaat 230mm</t>
  </si>
  <si>
    <t>Extrapolatie vanuit funderingslaagmenggranulaat 250 mm</t>
  </si>
  <si>
    <t>Asfalt bin/base</t>
  </si>
  <si>
    <t>Funderingslaag Menggranulaat 200mm</t>
  </si>
  <si>
    <t>kleeflaag</t>
  </si>
  <si>
    <t>Extrp. Funderingslaag Menggranulaat 180 mm</t>
  </si>
  <si>
    <t>Extrapolatie vanuit funderingslaagmenggranulaat 200mm</t>
  </si>
  <si>
    <t>ongebonden verhardingslaag</t>
  </si>
  <si>
    <t>Extrp. Funderingslaag Menggranulaat 150 mm</t>
  </si>
  <si>
    <t>Extrapolatie vanuit funderingslaagmenggranulaat 200 mm</t>
  </si>
  <si>
    <t>Lengtemarkering, koudplastisch</t>
  </si>
  <si>
    <t>m</t>
  </si>
  <si>
    <t>Meubulair</t>
  </si>
  <si>
    <t>Lengtemarkering, thermoplastisch,doorlopend</t>
  </si>
  <si>
    <t>Print beton</t>
  </si>
  <si>
    <t>Berekening MKI grootste belasters</t>
  </si>
  <si>
    <t>31 WEGVERHARDING II, 31.21 ASFALTVERHARDING, Bitumen emulsie kleeflaag 0,3 kgm2</t>
  </si>
  <si>
    <t>Bermverharding</t>
  </si>
  <si>
    <t>Door</t>
  </si>
  <si>
    <t>Joanne van 't Zelfde, TAUW</t>
  </si>
  <si>
    <t>31 WEGVERHARDING II, 31.21 ASFALTVERHARDING, Bitumen emulsie kleeflaag 0,4 kgm2</t>
  </si>
  <si>
    <t>Bestrating, straatbaksteen</t>
  </si>
  <si>
    <t>Datum berekening</t>
  </si>
  <si>
    <t>Extrp. 31 WEGVERHARDING II, 31.21 ASFALTVERHARDING, Bitumen emulsie kleeflaag 0,5 kg/m2</t>
  </si>
  <si>
    <t>Extrapolatie vanuit 31 WEGVERHARDING II, 31.21 ASFALTVERHARDING , Bitumen emulsie kleeflaag 0,4 kgm2</t>
  </si>
  <si>
    <t>Verhardingslaag beton</t>
  </si>
  <si>
    <t>Rekentool</t>
  </si>
  <si>
    <t>DuboCalc versie 6.0</t>
  </si>
  <si>
    <t>Funderingslaag Betongranulaat 200mm</t>
  </si>
  <si>
    <t>Alternatief voor steenslag</t>
  </si>
  <si>
    <t>Lengtemarkering</t>
  </si>
  <si>
    <t>Funderingslaag Betongranulaat 250mm</t>
  </si>
  <si>
    <t>Steenslag</t>
  </si>
  <si>
    <t>Uitgangspunten voor berekening</t>
  </si>
  <si>
    <t>SMANL 811</t>
  </si>
  <si>
    <t>kg</t>
  </si>
  <si>
    <t>Bron:</t>
  </si>
  <si>
    <t>Dubocalc 6</t>
  </si>
  <si>
    <t> AC bin base 50%PR cat. 2</t>
  </si>
  <si>
    <t>cat 2 data + aangepast na opmerking nota van inlichtingen</t>
  </si>
  <si>
    <t>totaal</t>
  </si>
  <si>
    <t>Database:</t>
  </si>
  <si>
    <t>AC surf 30%PR cat. 2</t>
  </si>
  <si>
    <t>ton</t>
  </si>
  <si>
    <t>cat 2 data</t>
  </si>
  <si>
    <t>Datum gebruik database:</t>
  </si>
  <si>
    <t>AC surf mod bit 30%PR cat. 2</t>
  </si>
  <si>
    <t>Projectlevensduur:</t>
  </si>
  <si>
    <t>60 jaar</t>
  </si>
  <si>
    <t>Lichtmast aluminium schaalbaar</t>
  </si>
  <si>
    <t>4 m lengte</t>
  </si>
  <si>
    <t>schaalbaar van 4 tot 18 meter</t>
  </si>
  <si>
    <t>Scope:</t>
  </si>
  <si>
    <t>Hele levensduur: bouw, gebruik, onderhoud, einde levensduur</t>
  </si>
  <si>
    <t>0,15m2</t>
  </si>
  <si>
    <t>aanname dat 1 lijn 0,15 m dik is</t>
  </si>
  <si>
    <t>Materialen:</t>
  </si>
  <si>
    <t>Hoeveelheden uit de kostenraming: K003-1244293EMD-V02 Alternatief</t>
  </si>
  <si>
    <t>Alternatief voor open beton</t>
  </si>
  <si>
    <t>LCA-data:</t>
  </si>
  <si>
    <t>Generieke data uit Nationale Milieudatabase gebruikt (incl. 30% toeslag). Geen producentspecifieke data gebruikt.</t>
  </si>
  <si>
    <t> Beton, in het werk gestort, C2025, incl. wapening en waterkerende laag</t>
  </si>
  <si>
    <t>Alternatief voor printbeton</t>
  </si>
  <si>
    <t>Verdere uitgangspunten:</t>
  </si>
  <si>
    <t>Opruimingswerkzaamheden, grond ontgraven en grond vervoeren en verwerken zijn niet meegenomen in deze berekening. Alleen de nieuw aan te brengen materialen zijn meegenomen.</t>
  </si>
  <si>
    <t> Straatbaksteen B&amp;U, KNB</t>
  </si>
  <si>
    <t>TOTAAL ton CO2 eq.</t>
  </si>
  <si>
    <t>Deelgebied</t>
  </si>
  <si>
    <t>Nummer</t>
  </si>
  <si>
    <t>Onderdeel</t>
  </si>
  <si>
    <t>categorie</t>
  </si>
  <si>
    <t xml:space="preserve">Materiaal ( 20210729-T001-1270074HVN-shg-V03-NL) </t>
  </si>
  <si>
    <t>Hoeveelheid</t>
  </si>
  <si>
    <t>Eenheid</t>
  </si>
  <si>
    <t>Materiaal DuboCalc</t>
  </si>
  <si>
    <t>kg CO2 totaal</t>
  </si>
  <si>
    <t>Opmerkingen</t>
  </si>
  <si>
    <t>Fases meegonomen (NMD)</t>
  </si>
  <si>
    <t>ongebonden verhardingslaag (180mm).</t>
  </si>
  <si>
    <t>Aangepast na nota van inlichtingen. Verschoven berekening weer teruggeplaatst</t>
  </si>
  <si>
    <t>A tm D</t>
  </si>
  <si>
    <t>ongebonden verhardingslaag (250mm).</t>
  </si>
  <si>
    <t>openbeton</t>
  </si>
  <si>
    <t>Aanbrengen bermverharding van open beton</t>
  </si>
  <si>
    <t>AC 16 base OL-B</t>
  </si>
  <si>
    <t>Aangepast na nota van inlichtingen 1</t>
  </si>
  <si>
    <t>Kleeflaag</t>
  </si>
  <si>
    <t>Kleeflaag(0,3 kg/m2)</t>
  </si>
  <si>
    <t>AC 22 base OL-B.</t>
  </si>
  <si>
    <t>AC 22 base OL-B</t>
  </si>
  <si>
    <t xml:space="preserve">AC 16 bind TL-B </t>
  </si>
  <si>
    <t xml:space="preserve">SMA-NL-G8 </t>
  </si>
  <si>
    <t>kleeflaag (0,3 kg/m2)</t>
  </si>
  <si>
    <t>Verharding</t>
  </si>
  <si>
    <t>steenslag (2,0 kg/m2)</t>
  </si>
  <si>
    <t>Printbeton</t>
  </si>
  <si>
    <t>Aanbrengen printbetonverharding</t>
  </si>
  <si>
    <t>Als proxy voor printbeton gekozen</t>
  </si>
  <si>
    <t>Straatstenen</t>
  </si>
  <si>
    <t>Aanbrengen elementenverhardingen</t>
  </si>
  <si>
    <t>Wegbebakening</t>
  </si>
  <si>
    <t>lengtemark koudplast (0,15m ononderbr)</t>
  </si>
  <si>
    <t>Dubocalc laat waarde van 1m2 zien. Data is aangepast zodat deze een lijn van 15 of 10 cm breed vertegenwoordigd</t>
  </si>
  <si>
    <t>lengtemark koudplast. (0,15m 3-3)</t>
  </si>
  <si>
    <t>:2 want onderbroken. Dubocalc laat waarde van 1m2 zien. Data is aangepast zodat deze een lijn van 15 of 10 cm breed vertegenwoordigd</t>
  </si>
  <si>
    <t>lengtemark koudplast (0,15m 1 - 1).</t>
  </si>
  <si>
    <t xml:space="preserve">:2 want onderbroken. Dubocalc laat waarde van 1m2 zien. Data is aangepast zodat deze een lijn van 15 of 10 cm breed vertegenwoordigd </t>
  </si>
  <si>
    <t>lengtemark koudplast (0,15m 0,5 - 0,5).</t>
  </si>
  <si>
    <t>lengtemark koudplast (0,15m 9 - 3).</t>
  </si>
  <si>
    <t>:3 want onderbroken. Dubocalc laat waarde van 1m2 zien. Data is aangepast zodat deze een lijn van 15 of 10 cm breed vertegenwoordigd</t>
  </si>
  <si>
    <t>overige markering -koudplast-</t>
  </si>
  <si>
    <t>ongebonden verhardingslaag(200 mm)</t>
  </si>
  <si>
    <t>ongebonden verhardingslaag(250 mm)</t>
  </si>
  <si>
    <t>AC 22 base OL-A</t>
  </si>
  <si>
    <t xml:space="preserve">AC 11 surf DL-A 33 mm </t>
  </si>
  <si>
    <t>steenslag(2,0 kg/m2)</t>
  </si>
  <si>
    <t xml:space="preserve">AC 22 bind TL-B </t>
  </si>
  <si>
    <t>SMA-NL-G8</t>
  </si>
  <si>
    <t xml:space="preserve">Verharding </t>
  </si>
  <si>
    <t>gemodificeerd AC16 surf DL-B</t>
  </si>
  <si>
    <t>Steenslag (2,5 kg/m2)</t>
  </si>
  <si>
    <t>Termoplast markering</t>
  </si>
  <si>
    <t>lengtemark koudplast (0,10m 0,5 - 0,5).</t>
  </si>
  <si>
    <t>ongebonden verhardingslaag(150 mm)</t>
  </si>
  <si>
    <t>Aanbrengen verhardingslaag van beton.</t>
  </si>
  <si>
    <t>Dubocalcproces als proxy voor verhadringslaag</t>
  </si>
  <si>
    <t>ongebondenverkeerslaag(230mm)</t>
  </si>
  <si>
    <t>Extrapolatie</t>
  </si>
  <si>
    <t xml:space="preserve">AC22 bind TL-B </t>
  </si>
  <si>
    <t>AC16 surf DL-IB</t>
  </si>
  <si>
    <t>kleeflaag (0,4 kg/m2)</t>
  </si>
  <si>
    <t>AC22 bind TL-B</t>
  </si>
  <si>
    <t>kleeflaag(0,5 kg/m2)</t>
  </si>
  <si>
    <t>Extrapolatie vanuit bitumen emulsie kleeflaag 0,4 kgm2</t>
  </si>
  <si>
    <t>AC11 surf DL-B</t>
  </si>
  <si>
    <t>Lichtmast eu 8m</t>
  </si>
  <si>
    <t>st</t>
  </si>
  <si>
    <t>Lichtmasten 10 m</t>
  </si>
  <si>
    <t>Aannames</t>
  </si>
  <si>
    <t>Extrapolatie Dubocalc 6.0 funderingslaag mengranulaat 300,250,200 mm</t>
  </si>
  <si>
    <t>mm</t>
  </si>
  <si>
    <t>CO2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</si>
</sst>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[Red]\-#,##0\ "/>
    <numFmt numFmtId="165" formatCode="0.0"/>
  </numFmts>
  <fonts count="20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9"/>
      <color theme="1"/>
      <name val="Arial"/>
      <family val="2"/>
    </font>
    <font>
      <b/>
      <sz val="10"/>
      <color theme="0"/>
      <name val="Arial"/>
      <family val="2"/>
    </font>
    <font>
      <b/>
      <sz val="9"/>
      <color theme="1"/>
      <name val="Arial"/>
      <family val="2"/>
    </font>
    <font>
      <i/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333333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i/>
      <sz val="8"/>
      <color theme="1"/>
      <name val="Calibri"/>
      <family val="2"/>
      <scheme val="minor"/>
    </font>
    <font>
      <i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8"/>
      <color rgb="FF333333"/>
      <name val="Arial"/>
      <family val="2"/>
    </font>
    <font>
      <i/>
      <sz val="8"/>
      <color rgb="FF333333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rgb="FF333333"/>
      <name val="Hind Madurai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009FE3"/>
      </bottom>
      <diagonal/>
    </border>
    <border>
      <left/>
      <right/>
      <top/>
      <bottom style="medium">
        <color rgb="FF00B0F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15" fontId="2" fillId="0" borderId="0" xfId="0" applyNumberFormat="1" applyFont="1" applyAlignment="1">
      <alignment horizontal="left"/>
    </xf>
    <xf numFmtId="0" fontId="4" fillId="0" borderId="0" xfId="0" applyFont="1"/>
    <xf numFmtId="0" fontId="0" fillId="3" borderId="0" xfId="0" applyFill="1"/>
    <xf numFmtId="0" fontId="3" fillId="3" borderId="2" xfId="0" applyFont="1" applyFill="1" applyBorder="1"/>
    <xf numFmtId="0" fontId="5" fillId="0" borderId="0" xfId="0" applyFont="1"/>
    <xf numFmtId="0" fontId="0" fillId="4" borderId="0" xfId="0" applyFill="1"/>
    <xf numFmtId="165" fontId="0" fillId="0" borderId="0" xfId="0" applyNumberFormat="1"/>
    <xf numFmtId="14" fontId="2" fillId="0" borderId="0" xfId="0" applyNumberFormat="1" applyFont="1" applyAlignment="1">
      <alignment horizontal="left"/>
    </xf>
    <xf numFmtId="0" fontId="6" fillId="0" borderId="0" xfId="0" applyFont="1"/>
    <xf numFmtId="0" fontId="6" fillId="0" borderId="1" xfId="0" applyFont="1" applyBorder="1"/>
    <xf numFmtId="0" fontId="6" fillId="0" borderId="0" xfId="0" applyFont="1" applyAlignment="1">
      <alignment horizontal="left"/>
    </xf>
    <xf numFmtId="0" fontId="7" fillId="3" borderId="2" xfId="0" applyFont="1" applyFill="1" applyBorder="1"/>
    <xf numFmtId="165" fontId="8" fillId="2" borderId="7" xfId="0" applyNumberFormat="1" applyFont="1" applyFill="1" applyBorder="1"/>
    <xf numFmtId="0" fontId="8" fillId="2" borderId="7" xfId="0" applyFont="1" applyFill="1" applyBorder="1"/>
    <xf numFmtId="0" fontId="8" fillId="0" borderId="0" xfId="0" applyFont="1"/>
    <xf numFmtId="0" fontId="9" fillId="5" borderId="3" xfId="0" applyFont="1" applyFill="1" applyBorder="1"/>
    <xf numFmtId="0" fontId="8" fillId="0" borderId="4" xfId="0" applyFont="1" applyBorder="1"/>
    <xf numFmtId="0" fontId="8" fillId="2" borderId="3" xfId="0" applyFont="1" applyFill="1" applyBorder="1"/>
    <xf numFmtId="165" fontId="8" fillId="2" borderId="5" xfId="0" applyNumberFormat="1" applyFont="1" applyFill="1" applyBorder="1"/>
    <xf numFmtId="0" fontId="9" fillId="0" borderId="6" xfId="0" applyFont="1" applyBorder="1"/>
    <xf numFmtId="0" fontId="8" fillId="2" borderId="6" xfId="0" applyFont="1" applyFill="1" applyBorder="1"/>
    <xf numFmtId="0" fontId="8" fillId="5" borderId="6" xfId="0" applyFont="1" applyFill="1" applyBorder="1"/>
    <xf numFmtId="1" fontId="8" fillId="2" borderId="7" xfId="0" applyNumberFormat="1" applyFont="1" applyFill="1" applyBorder="1"/>
    <xf numFmtId="0" fontId="8" fillId="0" borderId="6" xfId="0" applyFont="1" applyBorder="1"/>
    <xf numFmtId="0" fontId="9" fillId="5" borderId="6" xfId="0" applyFont="1" applyFill="1" applyBorder="1"/>
    <xf numFmtId="2" fontId="9" fillId="0" borderId="0" xfId="0" applyNumberFormat="1" applyFont="1"/>
    <xf numFmtId="0" fontId="9" fillId="2" borderId="6" xfId="0" applyFont="1" applyFill="1" applyBorder="1"/>
    <xf numFmtId="0" fontId="9" fillId="0" borderId="0" xfId="0" applyFont="1"/>
    <xf numFmtId="0" fontId="9" fillId="0" borderId="8" xfId="0" applyFont="1" applyBorder="1"/>
    <xf numFmtId="0" fontId="9" fillId="0" borderId="9" xfId="0" applyFont="1" applyBorder="1"/>
    <xf numFmtId="0" fontId="8" fillId="0" borderId="9" xfId="0" applyFont="1" applyBorder="1"/>
    <xf numFmtId="0" fontId="8" fillId="2" borderId="8" xfId="0" applyFont="1" applyFill="1" applyBorder="1"/>
    <xf numFmtId="0" fontId="8" fillId="2" borderId="10" xfId="0" applyFont="1" applyFill="1" applyBorder="1"/>
    <xf numFmtId="2" fontId="8" fillId="0" borderId="0" xfId="0" applyNumberFormat="1" applyFont="1"/>
    <xf numFmtId="0" fontId="10" fillId="0" borderId="0" xfId="0" applyFont="1"/>
    <xf numFmtId="0" fontId="11" fillId="0" borderId="0" xfId="0" applyFont="1"/>
    <xf numFmtId="0" fontId="10" fillId="2" borderId="0" xfId="0" applyFont="1" applyFill="1"/>
    <xf numFmtId="0" fontId="12" fillId="2" borderId="0" xfId="0" applyFont="1" applyFill="1"/>
    <xf numFmtId="1" fontId="10" fillId="2" borderId="0" xfId="0" applyNumberFormat="1" applyFont="1" applyFill="1"/>
    <xf numFmtId="4" fontId="10" fillId="0" borderId="0" xfId="0" applyNumberFormat="1" applyFont="1"/>
    <xf numFmtId="0" fontId="12" fillId="0" borderId="0" xfId="0" applyFont="1"/>
    <xf numFmtId="1" fontId="10" fillId="0" borderId="0" xfId="0" applyNumberFormat="1" applyFont="1"/>
    <xf numFmtId="164" fontId="10" fillId="0" borderId="0" xfId="0" applyNumberFormat="1" applyFont="1"/>
    <xf numFmtId="1" fontId="13" fillId="0" borderId="0" xfId="0" applyNumberFormat="1" applyFont="1"/>
    <xf numFmtId="0" fontId="14" fillId="0" borderId="0" xfId="0" applyFont="1"/>
    <xf numFmtId="1" fontId="15" fillId="0" borderId="0" xfId="0" applyNumberFormat="1" applyFont="1"/>
    <xf numFmtId="0" fontId="16" fillId="0" borderId="0" xfId="0" applyFont="1"/>
    <xf numFmtId="0" fontId="17" fillId="2" borderId="6" xfId="0" applyFont="1" applyFill="1" applyBorder="1"/>
    <xf numFmtId="165" fontId="17" fillId="2" borderId="7" xfId="0" applyNumberFormat="1" applyFont="1" applyFill="1" applyBorder="1"/>
    <xf numFmtId="0" fontId="12" fillId="6" borderId="0" xfId="0" applyFont="1" applyFill="1"/>
    <xf numFmtId="1" fontId="13" fillId="6" borderId="0" xfId="0" applyNumberFormat="1" applyFont="1" applyFill="1"/>
    <xf numFmtId="0" fontId="18" fillId="6" borderId="0" xfId="0" applyFont="1" applyFill="1"/>
    <xf numFmtId="1" fontId="10" fillId="6" borderId="0" xfId="0" applyNumberFormat="1" applyFont="1" applyFill="1"/>
    <xf numFmtId="0" fontId="10" fillId="6" borderId="0" xfId="0" applyFont="1" applyFill="1"/>
    <xf numFmtId="0" fontId="3" fillId="0" borderId="2" xfId="0" applyFont="1" applyBorder="1"/>
    <xf numFmtId="0" fontId="8" fillId="0" borderId="4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11" fillId="6" borderId="0" xfId="0" applyFont="1" applyFill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Impacts op de totale CO2 footprint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9A8F-4C7B-8798-8E28E332BFE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9A8F-4C7B-8798-8E28E332BFE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9A8F-4C7B-8798-8E28E332BFE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9A8F-4C7B-8798-8E28E332BFE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9A8F-4C7B-8798-8E28E332BFE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C-9A8F-4C7B-8798-8E28E332BFE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9A8F-4C7B-8798-8E28E332BFE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8-9A8F-4C7B-8798-8E28E332BFE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9A8F-4C7B-8798-8E28E332BFE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6-9A8F-4C7B-8798-8E28E332BFE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9A8F-4C7B-8798-8E28E332BFE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635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4-9A8F-4C7B-8798-8E28E332BFE8}"/>
              </c:ext>
            </c:extLst>
          </c:dPt>
          <c:dLbls>
            <c:dLbl>
              <c:idx val="0"/>
              <c:layout>
                <c:manualLayout>
                  <c:x val="1.0875103292073592E-2"/>
                  <c:y val="8.6419774088600687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A8F-4C7B-8798-8E28E332BFE8}"/>
                </c:ext>
              </c:extLst>
            </c:dLbl>
            <c:dLbl>
              <c:idx val="1"/>
              <c:layout>
                <c:manualLayout>
                  <c:x val="9.606341241331659E-2"/>
                  <c:y val="-8.33333535854364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9A8F-4C7B-8798-8E28E332BFE8}"/>
                </c:ext>
              </c:extLst>
            </c:dLbl>
            <c:dLbl>
              <c:idx val="2"/>
              <c:layout>
                <c:manualLayout>
                  <c:x val="7.6125723044515134E-2"/>
                  <c:y val="4.849163729010860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9A8F-4C7B-8798-8E28E332BFE8}"/>
                </c:ext>
              </c:extLst>
            </c:dLbl>
            <c:dLbl>
              <c:idx val="3"/>
              <c:layout>
                <c:manualLayout>
                  <c:x val="1.268762050741919E-2"/>
                  <c:y val="4.7419804741980369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9A8F-4C7B-8798-8E28E332BFE8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9A8F-4C7B-8798-8E28E332BFE8}"/>
                </c:ext>
              </c:extLst>
            </c:dLbl>
            <c:dLbl>
              <c:idx val="5"/>
              <c:layout>
                <c:manualLayout>
                  <c:x val="-0.11418858456677271"/>
                  <c:y val="6.13668061366804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9A8F-4C7B-8798-8E28E332BFE8}"/>
                </c:ext>
              </c:extLst>
            </c:dLbl>
            <c:dLbl>
              <c:idx val="6"/>
              <c:layout>
                <c:manualLayout>
                  <c:x val="-0.10331348127469911"/>
                  <c:y val="6.1728410063285073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A8F-4C7B-8798-8E28E332BFE8}"/>
                </c:ext>
              </c:extLst>
            </c:dLbl>
            <c:dLbl>
              <c:idx val="7"/>
              <c:layout>
                <c:manualLayout>
                  <c:x val="-8.1563274690551954E-2"/>
                  <c:y val="2.46913640253144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2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A8F-4C7B-8798-8E28E332BFE8}"/>
                </c:ext>
              </c:extLst>
            </c:dLbl>
            <c:dLbl>
              <c:idx val="8"/>
              <c:layout>
                <c:manualLayout>
                  <c:x val="1.7777777777777779E-3"/>
                  <c:y val="-9.2615955135450012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9A8F-4C7B-8798-8E28E332BFE8}"/>
                </c:ext>
              </c:extLst>
            </c:dLbl>
            <c:dLbl>
              <c:idx val="9"/>
              <c:layout>
                <c:manualLayout>
                  <c:x val="0"/>
                  <c:y val="-0.1246008394185220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4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A8F-4C7B-8798-8E28E332BFE8}"/>
                </c:ext>
              </c:extLst>
            </c:dLbl>
            <c:dLbl>
              <c:idx val="10"/>
              <c:layout>
                <c:manualLayout>
                  <c:x val="0"/>
                  <c:y val="-6.481483056645051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A8F-4C7B-8798-8E28E332BFE8}"/>
                </c:ext>
              </c:extLst>
            </c:dLbl>
            <c:dLbl>
              <c:idx val="11"/>
              <c:layout>
                <c:manualLayout>
                  <c:x val="6.5250619752441549E-2"/>
                  <c:y val="-9.2592615094929439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6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nl-N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9A8F-4C7B-8798-8E28E332BFE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Sheet1!$N$2:$N$13</c:f>
              <c:strCache>
                <c:ptCount val="12"/>
                <c:pt idx="0">
                  <c:v>Asfalt toplaag</c:v>
                </c:pt>
                <c:pt idx="1">
                  <c:v>Asfalt bin/base</c:v>
                </c:pt>
                <c:pt idx="2">
                  <c:v>kleeflaag</c:v>
                </c:pt>
                <c:pt idx="3">
                  <c:v>ongebonden verhardingslaag</c:v>
                </c:pt>
                <c:pt idx="5">
                  <c:v>Meubulair</c:v>
                </c:pt>
                <c:pt idx="6">
                  <c:v>Print beton</c:v>
                </c:pt>
                <c:pt idx="7">
                  <c:v>Bermverharding</c:v>
                </c:pt>
                <c:pt idx="8">
                  <c:v>Bestrating, straatbaksteen</c:v>
                </c:pt>
                <c:pt idx="9">
                  <c:v>Verhardingslaag beton</c:v>
                </c:pt>
                <c:pt idx="10">
                  <c:v>Lengtemarkering</c:v>
                </c:pt>
                <c:pt idx="11">
                  <c:v>Steenslag</c:v>
                </c:pt>
              </c:strCache>
            </c:strRef>
          </c:cat>
          <c:val>
            <c:numRef>
              <c:f>Sheet1!$O$2:$O$13</c:f>
              <c:numCache>
                <c:formatCode>0.0</c:formatCode>
                <c:ptCount val="12"/>
                <c:pt idx="0">
                  <c:v>802.91283999999996</c:v>
                </c:pt>
                <c:pt idx="1">
                  <c:v>694.375</c:v>
                </c:pt>
                <c:pt idx="2" formatCode="0">
                  <c:v>90.194340000000011</c:v>
                </c:pt>
                <c:pt idx="3">
                  <c:v>160.02304800000002</c:v>
                </c:pt>
                <c:pt idx="5">
                  <c:v>5.03172</c:v>
                </c:pt>
                <c:pt idx="6">
                  <c:v>120.84204000000001</c:v>
                </c:pt>
                <c:pt idx="7">
                  <c:v>182.12919999999997</c:v>
                </c:pt>
                <c:pt idx="8">
                  <c:v>14.77317</c:v>
                </c:pt>
                <c:pt idx="9">
                  <c:v>206.17236</c:v>
                </c:pt>
                <c:pt idx="10">
                  <c:v>141.14562015999999</c:v>
                </c:pt>
                <c:pt idx="11">
                  <c:v>171.36354999999998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F-4C7B-8798-8E28E332BFE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6350</xdr:rowOff>
    </xdr:from>
    <xdr:to>
      <xdr:col>4</xdr:col>
      <xdr:colOff>457438</xdr:colOff>
      <xdr:row>3</xdr:row>
      <xdr:rowOff>2938</xdr:rowOff>
    </xdr:to>
    <xdr:pic>
      <xdr:nvPicPr>
        <xdr:cNvPr id="2" name="Afbeelding 1" descr="See the source image">
          <a:extLst>
            <a:ext uri="{FF2B5EF4-FFF2-40B4-BE49-F238E27FC236}">
              <a16:creationId xmlns:a16="http://schemas.microsoft.com/office/drawing/2014/main" id="{390CF97A-4CFE-45CC-9F95-E93509332CD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249" t="24036" r="9827" b="23521"/>
        <a:stretch/>
      </xdr:blipFill>
      <xdr:spPr bwMode="auto">
        <a:xfrm>
          <a:off x="19050" y="6350"/>
          <a:ext cx="1126093" cy="531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514350</xdr:colOff>
      <xdr:row>24</xdr:row>
      <xdr:rowOff>95250</xdr:rowOff>
    </xdr:from>
    <xdr:to>
      <xdr:col>18</xdr:col>
      <xdr:colOff>123825</xdr:colOff>
      <xdr:row>55</xdr:row>
      <xdr:rowOff>142875</xdr:rowOff>
    </xdr:to>
    <xdr:graphicFrame macro="">
      <xdr:nvGraphicFramePr>
        <xdr:cNvPr id="12" name="Chart 3">
          <a:extLst>
            <a:ext uri="{FF2B5EF4-FFF2-40B4-BE49-F238E27FC236}">
              <a16:creationId xmlns:a16="http://schemas.microsoft.com/office/drawing/2014/main" id="{384AF841-E615-4D97-B273-026241B3B595}"/>
            </a:ext>
            <a:ext uri="{147F2762-F138-4A5C-976F-8EAC2B608ADB}">
              <a16:predDERef xmlns:a16="http://schemas.microsoft.com/office/drawing/2014/main" pred="{390CF97A-4CFE-45CC-9F95-E93509332C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20"/>
  <sheetViews>
    <sheetView tabSelected="1" topLeftCell="A22" zoomScaleNormal="100" workbookViewId="0">
      <selection activeCell="I28" sqref="I28"/>
    </sheetView>
  </sheetViews>
  <sheetFormatPr defaultRowHeight="15"/>
  <cols>
    <col min="1" max="1" width="3.28515625" customWidth="1"/>
    <col min="2" max="2" width="7" customWidth="1"/>
    <col min="3" max="3" width="0.140625" customWidth="1"/>
    <col min="4" max="4" width="0.28515625" hidden="1" customWidth="1"/>
    <col min="5" max="5" width="39" customWidth="1"/>
    <col min="6" max="6" width="9.7109375" customWidth="1"/>
    <col min="7" max="7" width="6" customWidth="1"/>
    <col min="8" max="8" width="61.140625" style="13" customWidth="1"/>
    <col min="9" max="9" width="10.28515625" customWidth="1"/>
    <col min="10" max="10" width="40" customWidth="1"/>
    <col min="11" max="11" width="10.140625" customWidth="1"/>
    <col min="12" max="12" width="8.5703125" customWidth="1"/>
    <col min="13" max="13" width="32.140625" customWidth="1"/>
    <col min="14" max="14" width="17.5703125" customWidth="1"/>
    <col min="15" max="15" width="12.7109375" customWidth="1"/>
  </cols>
  <sheetData>
    <row r="1" spans="5:16" ht="12" customHeight="1" thickBot="1">
      <c r="J1" s="7" t="s">
        <v>0</v>
      </c>
      <c r="K1" s="7" t="s">
        <v>1</v>
      </c>
      <c r="L1" s="7" t="s">
        <v>2</v>
      </c>
      <c r="M1" s="7" t="s">
        <v>3</v>
      </c>
      <c r="N1" s="7" t="s">
        <v>4</v>
      </c>
      <c r="O1" s="7" t="s">
        <v>5</v>
      </c>
    </row>
    <row r="2" spans="5:16" ht="12" customHeight="1">
      <c r="J2" s="20" t="s">
        <v>6</v>
      </c>
      <c r="K2" s="21">
        <v>8.92</v>
      </c>
      <c r="L2" s="21" t="s">
        <v>7</v>
      </c>
      <c r="M2" s="60"/>
      <c r="N2" s="22" t="s">
        <v>8</v>
      </c>
      <c r="O2" s="23">
        <f>SUM(I$39,I$55,I$63,I$70,I$106,I$116)/1000</f>
        <v>802.91283999999996</v>
      </c>
    </row>
    <row r="3" spans="5:16" ht="28.5" customHeight="1">
      <c r="J3" s="24" t="s">
        <v>9</v>
      </c>
      <c r="K3" s="19">
        <f>Sheet2!F4</f>
        <v>8.2064000000000004</v>
      </c>
      <c r="L3" s="19" t="s">
        <v>7</v>
      </c>
      <c r="M3" s="61" t="s">
        <v>10</v>
      </c>
      <c r="N3" s="25" t="s">
        <v>11</v>
      </c>
      <c r="O3" s="17">
        <f>SUM(I$30,I$32,I$33,I$35,I$37,I$54,I$58,I$59,I$61,I$66,I$67,I$68,I$104,I$114)/1000</f>
        <v>694.375</v>
      </c>
    </row>
    <row r="4" spans="5:16" ht="12" customHeight="1">
      <c r="J4" s="26" t="s">
        <v>12</v>
      </c>
      <c r="K4" s="19">
        <v>7.84</v>
      </c>
      <c r="L4" s="19" t="s">
        <v>7</v>
      </c>
      <c r="M4" s="61"/>
      <c r="N4" s="25" t="s">
        <v>13</v>
      </c>
      <c r="O4" s="27">
        <f>SUM(I$31,I$34,I$36,I$38,I$40,I$56,I$60,I$62,I$64,I$69,I$71,I$105,I$107,I$115,I$117)/1000</f>
        <v>90.194340000000011</v>
      </c>
    </row>
    <row r="5" spans="5:16" ht="24" customHeight="1">
      <c r="J5" s="28" t="s">
        <v>14</v>
      </c>
      <c r="K5" s="19">
        <f>Sheet2!G4</f>
        <v>7.056</v>
      </c>
      <c r="L5" s="19" t="s">
        <v>7</v>
      </c>
      <c r="M5" s="61" t="s">
        <v>15</v>
      </c>
      <c r="N5" s="25" t="s">
        <v>16</v>
      </c>
      <c r="O5" s="17">
        <f>SUM(I$27,I$28,I$51,I$52,I$84,I$85,I$102)/1000</f>
        <v>160.02304800000002</v>
      </c>
    </row>
    <row r="6" spans="5:16" ht="24.75" customHeight="1">
      <c r="J6" s="28" t="s">
        <v>17</v>
      </c>
      <c r="K6" s="19">
        <f>Sheet2!E4</f>
        <v>5.88</v>
      </c>
      <c r="L6" s="19" t="s">
        <v>7</v>
      </c>
      <c r="M6" s="61" t="s">
        <v>18</v>
      </c>
      <c r="N6" s="25"/>
      <c r="O6" s="17"/>
    </row>
    <row r="7" spans="5:16" ht="12" customHeight="1">
      <c r="J7" s="29" t="s">
        <v>19</v>
      </c>
      <c r="K7" s="30">
        <v>27.18</v>
      </c>
      <c r="L7" s="19" t="s">
        <v>20</v>
      </c>
      <c r="M7" s="61"/>
      <c r="N7" s="31" t="s">
        <v>21</v>
      </c>
      <c r="O7" s="17">
        <f>SUM(I$119,I$120)/1000</f>
        <v>5.03172</v>
      </c>
    </row>
    <row r="8" spans="5:16" ht="12" customHeight="1">
      <c r="J8" s="26" t="s">
        <v>22</v>
      </c>
      <c r="K8" s="19">
        <v>35.35</v>
      </c>
      <c r="L8" s="19" t="s">
        <v>20</v>
      </c>
      <c r="M8" s="61"/>
      <c r="N8" s="25" t="s">
        <v>23</v>
      </c>
      <c r="O8" s="17">
        <f>SUM(I$42,I$73,I$74,I$75,I$96)/1000</f>
        <v>120.84204000000001</v>
      </c>
    </row>
    <row r="9" spans="5:16" ht="20.25" customHeight="1" thickBot="1">
      <c r="E9" s="1" t="s">
        <v>24</v>
      </c>
      <c r="F9" s="2"/>
      <c r="G9" s="2"/>
      <c r="H9" s="14"/>
      <c r="J9" s="29" t="s">
        <v>25</v>
      </c>
      <c r="K9" s="19">
        <v>0.13</v>
      </c>
      <c r="L9" s="19" t="s">
        <v>7</v>
      </c>
      <c r="M9" s="61"/>
      <c r="N9" s="25" t="s">
        <v>26</v>
      </c>
      <c r="O9" s="17">
        <f>SUM(I$29,I$53,I$86,I$103)/1000</f>
        <v>182.12919999999997</v>
      </c>
    </row>
    <row r="10" spans="5:16" ht="12" customHeight="1" thickTop="1">
      <c r="E10" s="3" t="s">
        <v>27</v>
      </c>
      <c r="F10" s="4" t="s">
        <v>28</v>
      </c>
      <c r="G10" s="4"/>
      <c r="H10" s="15"/>
      <c r="J10" s="29" t="s">
        <v>29</v>
      </c>
      <c r="K10" s="19">
        <v>0.17</v>
      </c>
      <c r="L10" s="19" t="s">
        <v>7</v>
      </c>
      <c r="M10" s="61"/>
      <c r="N10" s="25" t="s">
        <v>30</v>
      </c>
      <c r="O10" s="17">
        <f>SUM(I$43,I$76,I$90,I$109)/1000</f>
        <v>14.77317</v>
      </c>
    </row>
    <row r="11" spans="5:16" ht="12" customHeight="1">
      <c r="E11" s="3" t="s">
        <v>31</v>
      </c>
      <c r="F11" s="5">
        <v>44467</v>
      </c>
      <c r="G11" s="4"/>
      <c r="H11" s="15"/>
      <c r="J11" s="29" t="s">
        <v>32</v>
      </c>
      <c r="K11" s="19">
        <f>K10*0.5/0.4</f>
        <v>0.21249999999999999</v>
      </c>
      <c r="L11" s="19" t="s">
        <v>7</v>
      </c>
      <c r="M11" s="61" t="s">
        <v>33</v>
      </c>
      <c r="N11" s="25" t="s">
        <v>34</v>
      </c>
      <c r="O11" s="17">
        <f>SUM(I$87,I$88,I$89)/1000</f>
        <v>206.17236</v>
      </c>
    </row>
    <row r="12" spans="5:16" ht="12" customHeight="1">
      <c r="E12" s="3" t="s">
        <v>35</v>
      </c>
      <c r="F12" s="5" t="s">
        <v>36</v>
      </c>
      <c r="G12" s="4"/>
      <c r="H12" s="15"/>
      <c r="J12" s="29" t="s">
        <v>37</v>
      </c>
      <c r="K12" s="19">
        <v>8.4499999999999993</v>
      </c>
      <c r="L12" s="19" t="s">
        <v>7</v>
      </c>
      <c r="M12" s="61" t="s">
        <v>38</v>
      </c>
      <c r="N12" s="25" t="s">
        <v>39</v>
      </c>
      <c r="O12" s="17">
        <f>SUM(I$91,I$112,I$111,I$110,I$100,I$99,I$98,I$97,I$94,I$93,I$92,I$82,I$81,I$80,I$79,I$78,I$77,I$49,I$48,I$47,I$46,I$45,I$44)/1000</f>
        <v>141.14562015999999</v>
      </c>
    </row>
    <row r="13" spans="5:16" ht="12" customHeight="1">
      <c r="E13" s="3"/>
      <c r="F13" s="4"/>
      <c r="G13" s="4"/>
      <c r="H13" s="15"/>
      <c r="J13" s="29" t="s">
        <v>40</v>
      </c>
      <c r="K13" s="32">
        <v>9.68</v>
      </c>
      <c r="L13" s="19" t="s">
        <v>7</v>
      </c>
      <c r="M13" s="61" t="s">
        <v>38</v>
      </c>
      <c r="N13" s="31" t="s">
        <v>41</v>
      </c>
      <c r="O13" s="17">
        <f>SUM(I$41,I$57,I$65,I$72,I$108)/1000</f>
        <v>171.36354999999998</v>
      </c>
    </row>
    <row r="14" spans="5:16" ht="12" customHeight="1">
      <c r="E14" s="6" t="s">
        <v>42</v>
      </c>
      <c r="F14" s="4"/>
      <c r="G14" s="4"/>
      <c r="H14" s="15"/>
      <c r="J14" s="29" t="s">
        <v>43</v>
      </c>
      <c r="K14" s="19">
        <v>0.24</v>
      </c>
      <c r="L14" s="19" t="s">
        <v>44</v>
      </c>
      <c r="M14" s="61"/>
      <c r="N14" s="25"/>
      <c r="O14" s="17"/>
      <c r="P14" s="11"/>
    </row>
    <row r="15" spans="5:16" ht="12" customHeight="1">
      <c r="E15" s="3" t="s">
        <v>45</v>
      </c>
      <c r="F15" s="65" t="s">
        <v>46</v>
      </c>
      <c r="G15" s="65"/>
      <c r="H15" s="15"/>
      <c r="J15" s="56" t="s">
        <v>47</v>
      </c>
      <c r="K15" s="19">
        <f>0.05</f>
        <v>0.05</v>
      </c>
      <c r="L15" s="19" t="s">
        <v>44</v>
      </c>
      <c r="M15" s="61" t="s">
        <v>48</v>
      </c>
      <c r="N15" s="52" t="s">
        <v>49</v>
      </c>
      <c r="O15" s="53">
        <f>SUM(O2:O13)</f>
        <v>2588.9628881599997</v>
      </c>
    </row>
    <row r="16" spans="5:16" ht="12" customHeight="1">
      <c r="E16" s="3" t="s">
        <v>50</v>
      </c>
      <c r="F16" s="4"/>
      <c r="G16" s="4"/>
      <c r="H16" s="15"/>
      <c r="J16" s="29" t="s">
        <v>51</v>
      </c>
      <c r="K16" s="19">
        <v>248.71</v>
      </c>
      <c r="L16" s="19" t="s">
        <v>52</v>
      </c>
      <c r="M16" s="61" t="s">
        <v>53</v>
      </c>
      <c r="N16" s="25"/>
      <c r="O16" s="18"/>
    </row>
    <row r="17" spans="1:15" ht="12" customHeight="1">
      <c r="E17" s="3" t="s">
        <v>54</v>
      </c>
      <c r="F17" s="12">
        <v>44410</v>
      </c>
      <c r="G17" s="4"/>
      <c r="H17" s="15"/>
      <c r="J17" s="29" t="s">
        <v>55</v>
      </c>
      <c r="K17" s="19">
        <v>294.79000000000002</v>
      </c>
      <c r="L17" s="19" t="s">
        <v>52</v>
      </c>
      <c r="M17" s="61" t="s">
        <v>53</v>
      </c>
      <c r="N17" s="25"/>
      <c r="O17" s="18"/>
    </row>
    <row r="18" spans="1:15" ht="12" customHeight="1">
      <c r="E18" s="3" t="s">
        <v>56</v>
      </c>
      <c r="F18" s="4" t="s">
        <v>57</v>
      </c>
      <c r="G18" s="4"/>
      <c r="H18" s="15"/>
      <c r="J18" s="29" t="s">
        <v>58</v>
      </c>
      <c r="K18" s="19">
        <v>139.77000000000001</v>
      </c>
      <c r="L18" s="19" t="s">
        <v>59</v>
      </c>
      <c r="M18" s="61" t="s">
        <v>60</v>
      </c>
      <c r="N18" s="25"/>
      <c r="O18" s="18"/>
    </row>
    <row r="19" spans="1:15" ht="12" customHeight="1">
      <c r="E19" s="3" t="s">
        <v>61</v>
      </c>
      <c r="F19" s="65" t="s">
        <v>62</v>
      </c>
      <c r="G19" s="65"/>
      <c r="H19" s="65"/>
      <c r="J19" s="29" t="s">
        <v>19</v>
      </c>
      <c r="K19" s="38">
        <f>K$7</f>
        <v>27.18</v>
      </c>
      <c r="L19" s="19" t="s">
        <v>63</v>
      </c>
      <c r="M19" s="61" t="s">
        <v>64</v>
      </c>
      <c r="N19" s="25"/>
      <c r="O19" s="18"/>
    </row>
    <row r="20" spans="1:15" ht="12" customHeight="1">
      <c r="E20" s="3" t="s">
        <v>65</v>
      </c>
      <c r="F20" s="64" t="s">
        <v>66</v>
      </c>
      <c r="G20" s="64"/>
      <c r="H20" s="64"/>
      <c r="J20" s="26" t="str">
        <f>J13</f>
        <v>Funderingslaag Betongranulaat 250mm</v>
      </c>
      <c r="K20" s="19">
        <f>K$13</f>
        <v>9.68</v>
      </c>
      <c r="L20" s="19" t="str">
        <f>L13</f>
        <v>m2</v>
      </c>
      <c r="M20" s="61" t="s">
        <v>67</v>
      </c>
      <c r="N20" s="25"/>
      <c r="O20" s="18"/>
    </row>
    <row r="21" spans="1:15" ht="24.75" customHeight="1">
      <c r="E21" s="3" t="s">
        <v>68</v>
      </c>
      <c r="F21" s="66" t="s">
        <v>69</v>
      </c>
      <c r="G21" s="66"/>
      <c r="H21" s="66"/>
      <c r="J21" s="24" t="s">
        <v>70</v>
      </c>
      <c r="K21" s="32">
        <v>127.74</v>
      </c>
      <c r="L21" s="19" t="s">
        <v>7</v>
      </c>
      <c r="M21" s="61" t="s">
        <v>71</v>
      </c>
      <c r="N21" s="25"/>
      <c r="O21" s="18"/>
    </row>
    <row r="22" spans="1:15" ht="12" customHeight="1" thickBot="1">
      <c r="E22" s="3" t="s">
        <v>72</v>
      </c>
      <c r="F22" s="64" t="s">
        <v>73</v>
      </c>
      <c r="G22" s="64"/>
      <c r="H22" s="64"/>
      <c r="J22" s="33" t="s">
        <v>74</v>
      </c>
      <c r="K22" s="34">
        <v>14.11</v>
      </c>
      <c r="L22" s="35" t="s">
        <v>7</v>
      </c>
      <c r="M22" s="62" t="s">
        <v>53</v>
      </c>
      <c r="N22" s="36"/>
      <c r="O22" s="37"/>
    </row>
    <row r="23" spans="1:15" ht="12" customHeight="1">
      <c r="I23" s="10" t="s">
        <v>75</v>
      </c>
    </row>
    <row r="24" spans="1:15" ht="12" customHeight="1">
      <c r="I24" s="10">
        <f>SUM(I26:I128)/1000</f>
        <v>2588.9628881600011</v>
      </c>
    </row>
    <row r="25" spans="1:15" ht="15.75" thickBot="1">
      <c r="A25" s="8" t="s">
        <v>76</v>
      </c>
      <c r="B25" s="8" t="s">
        <v>77</v>
      </c>
      <c r="C25" s="8" t="s">
        <v>78</v>
      </c>
      <c r="D25" s="8" t="s">
        <v>79</v>
      </c>
      <c r="E25" s="8" t="s">
        <v>80</v>
      </c>
      <c r="F25" s="8" t="s">
        <v>81</v>
      </c>
      <c r="G25" s="8" t="s">
        <v>82</v>
      </c>
      <c r="H25" s="16" t="s">
        <v>83</v>
      </c>
      <c r="I25" s="8" t="s">
        <v>84</v>
      </c>
      <c r="J25" s="8" t="s">
        <v>85</v>
      </c>
      <c r="K25" s="8" t="s">
        <v>86</v>
      </c>
      <c r="L25" s="59"/>
      <c r="N25" s="9"/>
    </row>
    <row r="26" spans="1:15">
      <c r="A26" s="41">
        <v>1</v>
      </c>
      <c r="B26" s="41">
        <v>100000</v>
      </c>
      <c r="C26" s="41"/>
      <c r="D26" s="41"/>
      <c r="E26" s="41"/>
      <c r="F26" s="41"/>
      <c r="G26" s="41"/>
      <c r="H26" s="42"/>
      <c r="I26" s="43"/>
      <c r="J26" s="41"/>
    </row>
    <row r="27" spans="1:15">
      <c r="A27" s="39">
        <v>1</v>
      </c>
      <c r="B27" s="39">
        <v>141020</v>
      </c>
      <c r="C27" s="39" t="s">
        <v>16</v>
      </c>
      <c r="D27" s="39"/>
      <c r="E27" s="39" t="s">
        <v>87</v>
      </c>
      <c r="F27" s="44">
        <v>4416</v>
      </c>
      <c r="G27" s="39" t="s">
        <v>7</v>
      </c>
      <c r="H27" s="54" t="str">
        <f xml:space="preserve"> J$5</f>
        <v>Extrp. Funderingslaag Menggranulaat 180 mm</v>
      </c>
      <c r="I27" s="57">
        <f>K$5*F27</f>
        <v>31159.295999999998</v>
      </c>
      <c r="J27" s="58" t="s">
        <v>88</v>
      </c>
      <c r="K27" t="s">
        <v>89</v>
      </c>
    </row>
    <row r="28" spans="1:15">
      <c r="A28" s="39">
        <v>1</v>
      </c>
      <c r="B28" s="39">
        <v>141030</v>
      </c>
      <c r="C28" s="39" t="s">
        <v>16</v>
      </c>
      <c r="D28" s="39"/>
      <c r="E28" s="39" t="s">
        <v>90</v>
      </c>
      <c r="F28" s="47">
        <v>450</v>
      </c>
      <c r="G28" s="39" t="s">
        <v>7</v>
      </c>
      <c r="H28" s="45" t="str">
        <f>J$2</f>
        <v>Funderingslaag Menggranulaat 250mm</v>
      </c>
      <c r="I28" s="46">
        <f>F28*K$2</f>
        <v>4014</v>
      </c>
      <c r="J28" s="39"/>
      <c r="K28" t="s">
        <v>89</v>
      </c>
    </row>
    <row r="29" spans="1:15">
      <c r="A29" s="39">
        <v>1</v>
      </c>
      <c r="B29" s="40">
        <v>142310</v>
      </c>
      <c r="C29" s="39" t="s">
        <v>91</v>
      </c>
      <c r="D29" s="39"/>
      <c r="E29" s="40" t="s">
        <v>92</v>
      </c>
      <c r="F29" s="40">
        <v>5900</v>
      </c>
      <c r="G29" s="40" t="s">
        <v>7</v>
      </c>
      <c r="H29" s="45" t="str">
        <f>J$20</f>
        <v>Funderingslaag Betongranulaat 250mm</v>
      </c>
      <c r="I29" s="46">
        <f>K$20*F29</f>
        <v>57112</v>
      </c>
      <c r="J29" s="40"/>
      <c r="K29" t="s">
        <v>89</v>
      </c>
    </row>
    <row r="30" spans="1:15">
      <c r="A30" s="39">
        <v>1</v>
      </c>
      <c r="B30" s="39">
        <v>151610</v>
      </c>
      <c r="C30" s="39" t="s">
        <v>11</v>
      </c>
      <c r="D30" s="39"/>
      <c r="E30" s="39" t="s">
        <v>93</v>
      </c>
      <c r="F30" s="47">
        <v>2690</v>
      </c>
      <c r="G30" s="39" t="s">
        <v>52</v>
      </c>
      <c r="H30" s="54" t="str">
        <f>J$15</f>
        <v> AC bin base 50%PR cat. 2</v>
      </c>
      <c r="I30" s="55">
        <f>K$15*F30*1000</f>
        <v>134500</v>
      </c>
      <c r="J30" s="58" t="s">
        <v>94</v>
      </c>
      <c r="K30" t="s">
        <v>89</v>
      </c>
    </row>
    <row r="31" spans="1:15">
      <c r="A31" s="39">
        <v>1</v>
      </c>
      <c r="B31" s="39">
        <v>151611</v>
      </c>
      <c r="C31" s="39" t="s">
        <v>95</v>
      </c>
      <c r="D31" s="39"/>
      <c r="E31" s="39" t="s">
        <v>96</v>
      </c>
      <c r="F31" s="39">
        <v>21555</v>
      </c>
      <c r="G31" s="39" t="s">
        <v>7</v>
      </c>
      <c r="H31" s="45" t="str">
        <f>J$9</f>
        <v>31 WEGVERHARDING II, 31.21 ASFALTVERHARDING, Bitumen emulsie kleeflaag 0,3 kgm2</v>
      </c>
      <c r="I31" s="46">
        <f>F31*K$9</f>
        <v>2802.15</v>
      </c>
      <c r="J31" s="39"/>
      <c r="K31" t="s">
        <v>89</v>
      </c>
    </row>
    <row r="32" spans="1:15">
      <c r="A32" s="39">
        <v>1</v>
      </c>
      <c r="B32" s="39">
        <v>151700</v>
      </c>
      <c r="C32" s="39" t="s">
        <v>11</v>
      </c>
      <c r="D32" s="39"/>
      <c r="E32" s="39" t="s">
        <v>97</v>
      </c>
      <c r="F32" s="39">
        <v>115</v>
      </c>
      <c r="G32" s="39" t="s">
        <v>52</v>
      </c>
      <c r="H32" s="54" t="str">
        <f>J$15</f>
        <v> AC bin base 50%PR cat. 2</v>
      </c>
      <c r="I32" s="55">
        <f>K$15*F32*1000</f>
        <v>5750</v>
      </c>
      <c r="J32" s="58" t="s">
        <v>94</v>
      </c>
      <c r="K32" t="s">
        <v>89</v>
      </c>
    </row>
    <row r="33" spans="1:11">
      <c r="A33" s="39">
        <v>1</v>
      </c>
      <c r="B33" s="39">
        <v>151710</v>
      </c>
      <c r="C33" s="39" t="s">
        <v>11</v>
      </c>
      <c r="D33" s="39"/>
      <c r="E33" s="39" t="s">
        <v>98</v>
      </c>
      <c r="F33" s="39">
        <v>3018.8</v>
      </c>
      <c r="G33" s="39" t="s">
        <v>52</v>
      </c>
      <c r="H33" s="54" t="str">
        <f>J$15</f>
        <v> AC bin base 50%PR cat. 2</v>
      </c>
      <c r="I33" s="55">
        <f>K$15*F33*1000</f>
        <v>150940.00000000003</v>
      </c>
      <c r="J33" s="58" t="s">
        <v>94</v>
      </c>
      <c r="K33" t="s">
        <v>89</v>
      </c>
    </row>
    <row r="34" spans="1:11">
      <c r="A34" s="39">
        <v>1</v>
      </c>
      <c r="B34" s="39">
        <v>151711</v>
      </c>
      <c r="C34" s="39" t="s">
        <v>95</v>
      </c>
      <c r="D34" s="39"/>
      <c r="E34" s="39" t="s">
        <v>96</v>
      </c>
      <c r="F34" s="39">
        <v>21955</v>
      </c>
      <c r="G34" s="39" t="s">
        <v>7</v>
      </c>
      <c r="H34" s="45" t="str">
        <f>J$9</f>
        <v>31 WEGVERHARDING II, 31.21 ASFALTVERHARDING, Bitumen emulsie kleeflaag 0,3 kgm2</v>
      </c>
      <c r="I34" s="46">
        <f>F34*K$9</f>
        <v>2854.15</v>
      </c>
      <c r="J34" s="39"/>
      <c r="K34" t="s">
        <v>89</v>
      </c>
    </row>
    <row r="35" spans="1:11">
      <c r="A35" s="39">
        <v>1</v>
      </c>
      <c r="B35" s="39">
        <v>151720</v>
      </c>
      <c r="C35" s="39" t="s">
        <v>11</v>
      </c>
      <c r="D35" s="39"/>
      <c r="E35" s="39" t="s">
        <v>98</v>
      </c>
      <c r="F35" s="39">
        <v>3115.6</v>
      </c>
      <c r="G35" s="39" t="s">
        <v>52</v>
      </c>
      <c r="H35" s="54" t="str">
        <f>J$15</f>
        <v> AC bin base 50%PR cat. 2</v>
      </c>
      <c r="I35" s="55">
        <f>K$15*F35*1000</f>
        <v>155780</v>
      </c>
      <c r="J35" s="58" t="s">
        <v>94</v>
      </c>
      <c r="K35" t="s">
        <v>89</v>
      </c>
    </row>
    <row r="36" spans="1:11">
      <c r="A36" s="39">
        <v>1</v>
      </c>
      <c r="B36" s="39">
        <v>151721</v>
      </c>
      <c r="C36" s="39" t="s">
        <v>95</v>
      </c>
      <c r="D36" s="39"/>
      <c r="E36" s="39" t="s">
        <v>96</v>
      </c>
      <c r="F36" s="39">
        <v>22524</v>
      </c>
      <c r="G36" s="39" t="s">
        <v>7</v>
      </c>
      <c r="H36" s="45" t="str">
        <f>J$9</f>
        <v>31 WEGVERHARDING II, 31.21 ASFALTVERHARDING, Bitumen emulsie kleeflaag 0,3 kgm2</v>
      </c>
      <c r="I36" s="46">
        <f>F36*K$9</f>
        <v>2928.12</v>
      </c>
      <c r="J36" s="39"/>
      <c r="K36" t="s">
        <v>89</v>
      </c>
    </row>
    <row r="37" spans="1:11">
      <c r="A37" s="39">
        <v>1</v>
      </c>
      <c r="B37" s="39">
        <v>151730</v>
      </c>
      <c r="C37" s="39" t="s">
        <v>11</v>
      </c>
      <c r="D37" s="39"/>
      <c r="E37" s="39" t="s">
        <v>99</v>
      </c>
      <c r="F37" s="39">
        <v>2252.4</v>
      </c>
      <c r="G37" s="39" t="s">
        <v>52</v>
      </c>
      <c r="H37" s="54" t="str">
        <f>J$15</f>
        <v> AC bin base 50%PR cat. 2</v>
      </c>
      <c r="I37" s="55">
        <f>K$15*F37*1000</f>
        <v>112620</v>
      </c>
      <c r="J37" s="58" t="s">
        <v>94</v>
      </c>
      <c r="K37" t="s">
        <v>89</v>
      </c>
    </row>
    <row r="38" spans="1:11">
      <c r="A38" s="39">
        <v>1</v>
      </c>
      <c r="B38" s="39">
        <v>151731</v>
      </c>
      <c r="C38" s="39" t="s">
        <v>95</v>
      </c>
      <c r="D38" s="39"/>
      <c r="E38" s="39" t="s">
        <v>96</v>
      </c>
      <c r="F38" s="39">
        <v>22524</v>
      </c>
      <c r="G38" s="39" t="s">
        <v>7</v>
      </c>
      <c r="H38" s="45" t="str">
        <f>J$9</f>
        <v>31 WEGVERHARDING II, 31.21 ASFALTVERHARDING, Bitumen emulsie kleeflaag 0,3 kgm2</v>
      </c>
      <c r="I38" s="46">
        <f>F38*K$9</f>
        <v>2928.12</v>
      </c>
      <c r="J38" s="39"/>
      <c r="K38" t="s">
        <v>89</v>
      </c>
    </row>
    <row r="39" spans="1:11">
      <c r="A39" s="39">
        <v>1</v>
      </c>
      <c r="B39" s="39">
        <v>151740</v>
      </c>
      <c r="C39" s="39" t="s">
        <v>8</v>
      </c>
      <c r="D39" s="39"/>
      <c r="E39" s="39" t="s">
        <v>100</v>
      </c>
      <c r="F39" s="39">
        <v>1680</v>
      </c>
      <c r="G39" s="39" t="s">
        <v>52</v>
      </c>
      <c r="H39" s="45" t="str">
        <f>J$14</f>
        <v>SMANL 811</v>
      </c>
      <c r="I39" s="48">
        <f>F39*1000*K$14</f>
        <v>403200</v>
      </c>
      <c r="J39" s="39"/>
      <c r="K39" t="s">
        <v>89</v>
      </c>
    </row>
    <row r="40" spans="1:11">
      <c r="A40" s="39">
        <v>1</v>
      </c>
      <c r="B40" s="39">
        <v>151741</v>
      </c>
      <c r="C40" s="39" t="s">
        <v>95</v>
      </c>
      <c r="D40" s="39"/>
      <c r="E40" s="39" t="s">
        <v>101</v>
      </c>
      <c r="F40" s="39">
        <v>22390</v>
      </c>
      <c r="G40" s="39" t="s">
        <v>7</v>
      </c>
      <c r="H40" s="45" t="str">
        <f>J$9</f>
        <v>31 WEGVERHARDING II, 31.21 ASFALTVERHARDING, Bitumen emulsie kleeflaag 0,3 kgm2</v>
      </c>
      <c r="I40" s="46">
        <f>F40*K$9</f>
        <v>2910.7000000000003</v>
      </c>
      <c r="J40" s="39"/>
      <c r="K40" t="s">
        <v>89</v>
      </c>
    </row>
    <row r="41" spans="1:11">
      <c r="A41" s="39">
        <v>1</v>
      </c>
      <c r="B41" s="39">
        <v>151743</v>
      </c>
      <c r="C41" s="39" t="s">
        <v>102</v>
      </c>
      <c r="D41" s="39"/>
      <c r="E41" s="39" t="s">
        <v>103</v>
      </c>
      <c r="F41" s="39">
        <v>1680</v>
      </c>
      <c r="G41" s="39" t="s">
        <v>7</v>
      </c>
      <c r="H41" s="54" t="str">
        <f>J$12</f>
        <v>Funderingslaag Betongranulaat 200mm</v>
      </c>
      <c r="I41" s="57">
        <f>K$12*F41</f>
        <v>14195.999999999998</v>
      </c>
      <c r="J41" s="58" t="s">
        <v>94</v>
      </c>
      <c r="K41" t="s">
        <v>89</v>
      </c>
    </row>
    <row r="42" spans="1:11">
      <c r="A42" s="39">
        <v>1</v>
      </c>
      <c r="B42" s="39">
        <v>157010</v>
      </c>
      <c r="C42" s="39" t="s">
        <v>104</v>
      </c>
      <c r="D42" s="49"/>
      <c r="E42" s="49" t="s">
        <v>105</v>
      </c>
      <c r="F42" s="39">
        <v>29</v>
      </c>
      <c r="G42" s="39" t="s">
        <v>7</v>
      </c>
      <c r="H42" s="45" t="str">
        <f>J$21</f>
        <v> Beton, in het werk gestort, C2025, incl. wapening en waterkerende laag</v>
      </c>
      <c r="I42" s="49">
        <f>F42*K$21</f>
        <v>3704.46</v>
      </c>
      <c r="J42" s="49" t="s">
        <v>106</v>
      </c>
      <c r="K42" t="s">
        <v>89</v>
      </c>
    </row>
    <row r="43" spans="1:11">
      <c r="A43" s="39">
        <v>1</v>
      </c>
      <c r="B43" s="39">
        <v>160110</v>
      </c>
      <c r="C43" s="39" t="s">
        <v>107</v>
      </c>
      <c r="D43" s="49"/>
      <c r="E43" s="49" t="s">
        <v>108</v>
      </c>
      <c r="F43" s="39">
        <v>475</v>
      </c>
      <c r="G43" s="39" t="s">
        <v>7</v>
      </c>
      <c r="H43" s="45" t="str">
        <f>J$22</f>
        <v> Straatbaksteen B&amp;U, KNB</v>
      </c>
      <c r="I43" s="49">
        <f>K$22 *F43</f>
        <v>6702.25</v>
      </c>
      <c r="J43" s="49"/>
      <c r="K43" t="s">
        <v>89</v>
      </c>
    </row>
    <row r="44" spans="1:11">
      <c r="A44" s="39">
        <v>1</v>
      </c>
      <c r="B44" s="39">
        <v>172010</v>
      </c>
      <c r="C44" s="39" t="s">
        <v>109</v>
      </c>
      <c r="D44" s="39"/>
      <c r="E44" s="39" t="s">
        <v>110</v>
      </c>
      <c r="F44" s="47">
        <f>5780*0.15</f>
        <v>867</v>
      </c>
      <c r="G44" s="58" t="s">
        <v>7</v>
      </c>
      <c r="H44" s="45" t="str">
        <f>J$7</f>
        <v>Lengtemarkering, koudplastisch</v>
      </c>
      <c r="I44" s="46">
        <f>K$7*F44</f>
        <v>23565.06</v>
      </c>
      <c r="J44" s="39" t="s">
        <v>111</v>
      </c>
      <c r="K44" t="s">
        <v>89</v>
      </c>
    </row>
    <row r="45" spans="1:11">
      <c r="A45" s="39">
        <v>1</v>
      </c>
      <c r="B45" s="39">
        <v>172020</v>
      </c>
      <c r="C45" s="39" t="s">
        <v>109</v>
      </c>
      <c r="D45" s="39"/>
      <c r="E45" s="39" t="s">
        <v>112</v>
      </c>
      <c r="F45" s="47">
        <f>(6000/2)*0.15</f>
        <v>450</v>
      </c>
      <c r="G45" s="58" t="s">
        <v>7</v>
      </c>
      <c r="H45" s="45" t="str">
        <f>J$7</f>
        <v>Lengtemarkering, koudplastisch</v>
      </c>
      <c r="I45" s="46">
        <f>K$7*F45</f>
        <v>12231</v>
      </c>
      <c r="J45" s="40" t="s">
        <v>113</v>
      </c>
      <c r="K45" t="s">
        <v>89</v>
      </c>
    </row>
    <row r="46" spans="1:11">
      <c r="A46" s="39">
        <v>1</v>
      </c>
      <c r="B46" s="39">
        <v>172030</v>
      </c>
      <c r="C46" s="39" t="s">
        <v>109</v>
      </c>
      <c r="D46" s="39"/>
      <c r="E46" s="39" t="s">
        <v>114</v>
      </c>
      <c r="F46" s="39">
        <f>(140/2)*0.15</f>
        <v>10.5</v>
      </c>
      <c r="G46" s="58" t="s">
        <v>7</v>
      </c>
      <c r="H46" s="45" t="str">
        <f>J$7</f>
        <v>Lengtemarkering, koudplastisch</v>
      </c>
      <c r="I46" s="46">
        <f>K$7*F46</f>
        <v>285.39</v>
      </c>
      <c r="J46" s="40" t="s">
        <v>115</v>
      </c>
      <c r="K46" t="s">
        <v>89</v>
      </c>
    </row>
    <row r="47" spans="1:11">
      <c r="A47" s="39">
        <v>1</v>
      </c>
      <c r="B47" s="40">
        <v>172040</v>
      </c>
      <c r="C47" s="39" t="s">
        <v>109</v>
      </c>
      <c r="D47" s="39"/>
      <c r="E47" s="40" t="s">
        <v>116</v>
      </c>
      <c r="F47" s="40">
        <f>(10/2)*0.15</f>
        <v>0.75</v>
      </c>
      <c r="G47" s="63" t="s">
        <v>7</v>
      </c>
      <c r="H47" s="45" t="str">
        <f>J$7</f>
        <v>Lengtemarkering, koudplastisch</v>
      </c>
      <c r="I47" s="46">
        <f>K$7*F47</f>
        <v>20.384999999999998</v>
      </c>
      <c r="J47" s="40" t="s">
        <v>115</v>
      </c>
      <c r="K47" t="s">
        <v>89</v>
      </c>
    </row>
    <row r="48" spans="1:11">
      <c r="A48" s="39">
        <v>1</v>
      </c>
      <c r="B48" s="39">
        <v>172050</v>
      </c>
      <c r="C48" s="39" t="s">
        <v>109</v>
      </c>
      <c r="D48" s="39"/>
      <c r="E48" s="39" t="s">
        <v>117</v>
      </c>
      <c r="F48" s="39">
        <f>(80*0.666)*0.15</f>
        <v>7.992</v>
      </c>
      <c r="G48" s="58" t="s">
        <v>7</v>
      </c>
      <c r="H48" s="45" t="str">
        <f>J$7</f>
        <v>Lengtemarkering, koudplastisch</v>
      </c>
      <c r="I48" s="46">
        <f>K$7*F48</f>
        <v>217.22255999999999</v>
      </c>
      <c r="J48" s="39" t="s">
        <v>118</v>
      </c>
      <c r="K48" t="s">
        <v>89</v>
      </c>
    </row>
    <row r="49" spans="1:11">
      <c r="A49" s="39">
        <v>1</v>
      </c>
      <c r="B49" s="39">
        <v>172060</v>
      </c>
      <c r="C49" s="39" t="s">
        <v>109</v>
      </c>
      <c r="D49" s="39"/>
      <c r="E49" s="39" t="s">
        <v>119</v>
      </c>
      <c r="F49" s="39">
        <f>166</f>
        <v>166</v>
      </c>
      <c r="G49" s="58" t="s">
        <v>7</v>
      </c>
      <c r="H49" s="45" t="str">
        <f>J$19</f>
        <v>Lengtemarkering, koudplastisch</v>
      </c>
      <c r="I49" s="46">
        <f>K$19*F49</f>
        <v>4511.88</v>
      </c>
      <c r="J49" s="39"/>
      <c r="K49" t="s">
        <v>89</v>
      </c>
    </row>
    <row r="50" spans="1:11">
      <c r="A50" s="41">
        <v>2</v>
      </c>
      <c r="B50" s="41">
        <v>200000</v>
      </c>
      <c r="C50" s="41"/>
      <c r="D50" s="41"/>
      <c r="E50" s="41"/>
      <c r="F50" s="41"/>
      <c r="G50" s="41"/>
      <c r="H50" s="42"/>
      <c r="I50" s="43"/>
      <c r="J50" s="41"/>
    </row>
    <row r="51" spans="1:11">
      <c r="A51" s="39">
        <v>2</v>
      </c>
      <c r="B51" s="39">
        <v>241020</v>
      </c>
      <c r="C51" s="39" t="s">
        <v>16</v>
      </c>
      <c r="D51" s="39"/>
      <c r="E51" s="39" t="s">
        <v>120</v>
      </c>
      <c r="F51" s="39">
        <v>320</v>
      </c>
      <c r="G51" s="39" t="s">
        <v>7</v>
      </c>
      <c r="H51" s="45" t="str">
        <f>J$4</f>
        <v>Funderingslaag Menggranulaat 200mm</v>
      </c>
      <c r="I51" s="46">
        <f>F51*K$4</f>
        <v>2508.8000000000002</v>
      </c>
      <c r="J51" s="39"/>
      <c r="K51" t="s">
        <v>89</v>
      </c>
    </row>
    <row r="52" spans="1:11">
      <c r="A52" s="39">
        <v>2</v>
      </c>
      <c r="B52" s="39">
        <v>241020</v>
      </c>
      <c r="C52" s="39" t="s">
        <v>16</v>
      </c>
      <c r="D52" s="39"/>
      <c r="E52" s="39" t="s">
        <v>121</v>
      </c>
      <c r="F52" s="39">
        <v>6030</v>
      </c>
      <c r="G52" s="39" t="s">
        <v>7</v>
      </c>
      <c r="H52" s="45" t="str">
        <f>J$2</f>
        <v>Funderingslaag Menggranulaat 250mm</v>
      </c>
      <c r="I52" s="46">
        <f>F52*K$2</f>
        <v>53787.6</v>
      </c>
      <c r="J52" s="39"/>
      <c r="K52" t="s">
        <v>89</v>
      </c>
    </row>
    <row r="53" spans="1:11">
      <c r="A53" s="39">
        <v>2</v>
      </c>
      <c r="B53" s="39">
        <v>242310</v>
      </c>
      <c r="C53" s="39" t="s">
        <v>91</v>
      </c>
      <c r="D53" s="39"/>
      <c r="E53" s="39" t="s">
        <v>92</v>
      </c>
      <c r="F53" s="39">
        <v>660</v>
      </c>
      <c r="G53" s="39" t="s">
        <v>7</v>
      </c>
      <c r="H53" s="45" t="str">
        <f>J$20</f>
        <v>Funderingslaag Betongranulaat 250mm</v>
      </c>
      <c r="I53" s="46">
        <f>F53*K$20</f>
        <v>6388.8</v>
      </c>
      <c r="J53" s="40"/>
      <c r="K53" t="s">
        <v>89</v>
      </c>
    </row>
    <row r="54" spans="1:11">
      <c r="A54" s="39">
        <v>2</v>
      </c>
      <c r="B54" s="39">
        <v>251010</v>
      </c>
      <c r="C54" s="39" t="s">
        <v>11</v>
      </c>
      <c r="D54" s="39"/>
      <c r="E54" s="39" t="s">
        <v>122</v>
      </c>
      <c r="F54" s="39">
        <v>43.05</v>
      </c>
      <c r="G54" s="39" t="s">
        <v>52</v>
      </c>
      <c r="H54" s="54" t="str">
        <f>J$15</f>
        <v> AC bin base 50%PR cat. 2</v>
      </c>
      <c r="I54" s="55">
        <f>K$15*F54*1000</f>
        <v>2152.5</v>
      </c>
      <c r="J54" s="58" t="s">
        <v>94</v>
      </c>
      <c r="K54" t="s">
        <v>89</v>
      </c>
    </row>
    <row r="55" spans="1:11">
      <c r="A55" s="39">
        <v>2</v>
      </c>
      <c r="B55" s="39">
        <v>251020</v>
      </c>
      <c r="C55" s="39" t="s">
        <v>8</v>
      </c>
      <c r="D55" s="39"/>
      <c r="E55" s="39" t="s">
        <v>123</v>
      </c>
      <c r="F55" s="39">
        <v>22</v>
      </c>
      <c r="G55" s="39" t="s">
        <v>52</v>
      </c>
      <c r="H55" s="45" t="str">
        <f>J$16</f>
        <v>AC surf 30%PR cat. 2</v>
      </c>
      <c r="I55" s="46">
        <f>K$16*F55</f>
        <v>5471.62</v>
      </c>
      <c r="J55" s="39"/>
      <c r="K55" t="s">
        <v>89</v>
      </c>
    </row>
    <row r="56" spans="1:11">
      <c r="A56" s="39">
        <v>2</v>
      </c>
      <c r="B56" s="39">
        <v>251021</v>
      </c>
      <c r="C56" s="39" t="s">
        <v>95</v>
      </c>
      <c r="D56" s="39"/>
      <c r="E56" s="39" t="s">
        <v>101</v>
      </c>
      <c r="F56" s="39">
        <v>285</v>
      </c>
      <c r="G56" s="39" t="s">
        <v>7</v>
      </c>
      <c r="H56" s="45" t="str">
        <f>J$9</f>
        <v>31 WEGVERHARDING II, 31.21 ASFALTVERHARDING, Bitumen emulsie kleeflaag 0,3 kgm2</v>
      </c>
      <c r="I56" s="46">
        <f>F56*K$9</f>
        <v>37.050000000000004</v>
      </c>
      <c r="J56" s="39"/>
      <c r="K56" t="s">
        <v>89</v>
      </c>
    </row>
    <row r="57" spans="1:11">
      <c r="A57" s="39">
        <v>2</v>
      </c>
      <c r="B57" s="39">
        <v>251023</v>
      </c>
      <c r="C57" s="39" t="s">
        <v>102</v>
      </c>
      <c r="D57" s="39"/>
      <c r="E57" s="39" t="s">
        <v>124</v>
      </c>
      <c r="F57" s="39">
        <v>285</v>
      </c>
      <c r="G57" s="39" t="s">
        <v>7</v>
      </c>
      <c r="H57" s="45" t="str">
        <f>J$12</f>
        <v>Funderingslaag Betongranulaat 200mm</v>
      </c>
      <c r="I57" s="46">
        <f>K$12*F57</f>
        <v>2408.25</v>
      </c>
      <c r="J57" s="39"/>
      <c r="K57" t="s">
        <v>89</v>
      </c>
    </row>
    <row r="58" spans="1:11">
      <c r="A58" s="39">
        <v>2</v>
      </c>
      <c r="B58" s="39">
        <v>251710</v>
      </c>
      <c r="C58" s="39" t="s">
        <v>11</v>
      </c>
      <c r="D58" s="39"/>
      <c r="E58" s="39" t="s">
        <v>98</v>
      </c>
      <c r="F58" s="39">
        <v>421.3</v>
      </c>
      <c r="G58" s="39" t="s">
        <v>52</v>
      </c>
      <c r="H58" s="54" t="str">
        <f>J$15</f>
        <v> AC bin base 50%PR cat. 2</v>
      </c>
      <c r="I58" s="55">
        <f>K$15*F58*1000</f>
        <v>21065</v>
      </c>
      <c r="J58" s="58" t="s">
        <v>94</v>
      </c>
      <c r="K58" t="s">
        <v>89</v>
      </c>
    </row>
    <row r="59" spans="1:11">
      <c r="A59" s="39">
        <v>2</v>
      </c>
      <c r="B59" s="39">
        <v>251720</v>
      </c>
      <c r="C59" s="39" t="s">
        <v>11</v>
      </c>
      <c r="D59" s="39"/>
      <c r="E59" s="39" t="s">
        <v>98</v>
      </c>
      <c r="F59" s="39">
        <v>418.8</v>
      </c>
      <c r="G59" s="39" t="s">
        <v>52</v>
      </c>
      <c r="H59" s="54" t="str">
        <f>J$15</f>
        <v> AC bin base 50%PR cat. 2</v>
      </c>
      <c r="I59" s="55">
        <f>K$15*F59*1000</f>
        <v>20940</v>
      </c>
      <c r="J59" s="58" t="s">
        <v>94</v>
      </c>
      <c r="K59" t="s">
        <v>89</v>
      </c>
    </row>
    <row r="60" spans="1:11">
      <c r="A60" s="39">
        <v>2</v>
      </c>
      <c r="B60" s="39">
        <v>251721</v>
      </c>
      <c r="C60" s="39" t="s">
        <v>95</v>
      </c>
      <c r="D60" s="39"/>
      <c r="E60" s="39" t="s">
        <v>96</v>
      </c>
      <c r="F60" s="39">
        <v>3046</v>
      </c>
      <c r="G60" s="39" t="s">
        <v>7</v>
      </c>
      <c r="H60" s="45" t="str">
        <f>J$9</f>
        <v>31 WEGVERHARDING II, 31.21 ASFALTVERHARDING, Bitumen emulsie kleeflaag 0,3 kgm2</v>
      </c>
      <c r="I60" s="46">
        <f>F60*K$9</f>
        <v>395.98</v>
      </c>
      <c r="J60" s="39"/>
      <c r="K60" t="s">
        <v>89</v>
      </c>
    </row>
    <row r="61" spans="1:11">
      <c r="A61" s="39">
        <v>2</v>
      </c>
      <c r="B61" s="39">
        <v>251730</v>
      </c>
      <c r="C61" s="39" t="s">
        <v>11</v>
      </c>
      <c r="D61" s="39"/>
      <c r="E61" s="39" t="s">
        <v>125</v>
      </c>
      <c r="F61" s="39">
        <v>302.8</v>
      </c>
      <c r="G61" s="39" t="s">
        <v>52</v>
      </c>
      <c r="H61" s="54" t="str">
        <f>J$15</f>
        <v> AC bin base 50%PR cat. 2</v>
      </c>
      <c r="I61" s="55">
        <f>K$15*F61*1000</f>
        <v>15140</v>
      </c>
      <c r="J61" s="58" t="s">
        <v>94</v>
      </c>
      <c r="K61" t="s">
        <v>89</v>
      </c>
    </row>
    <row r="62" spans="1:11">
      <c r="A62" s="39">
        <v>2</v>
      </c>
      <c r="B62" s="39">
        <v>251731</v>
      </c>
      <c r="C62" s="39" t="s">
        <v>95</v>
      </c>
      <c r="D62" s="39"/>
      <c r="E62" s="39" t="s">
        <v>96</v>
      </c>
      <c r="F62" s="39">
        <v>3028</v>
      </c>
      <c r="G62" s="39" t="s">
        <v>7</v>
      </c>
      <c r="H62" s="45" t="str">
        <f>J$9</f>
        <v>31 WEGVERHARDING II, 31.21 ASFALTVERHARDING, Bitumen emulsie kleeflaag 0,3 kgm2</v>
      </c>
      <c r="I62" s="46">
        <f>F62*K$9</f>
        <v>393.64</v>
      </c>
      <c r="J62" s="39"/>
      <c r="K62" t="s">
        <v>89</v>
      </c>
    </row>
    <row r="63" spans="1:11">
      <c r="A63" s="39">
        <v>2</v>
      </c>
      <c r="B63" s="39">
        <v>251740</v>
      </c>
      <c r="C63" s="39" t="s">
        <v>8</v>
      </c>
      <c r="D63" s="39"/>
      <c r="E63" s="39" t="s">
        <v>126</v>
      </c>
      <c r="F63" s="39">
        <v>226</v>
      </c>
      <c r="G63" s="39" t="s">
        <v>52</v>
      </c>
      <c r="H63" s="45" t="str">
        <f>J$14</f>
        <v>SMANL 811</v>
      </c>
      <c r="I63" s="50">
        <f>F63*K$14*1000</f>
        <v>54239.999999999993</v>
      </c>
      <c r="J63" s="39"/>
      <c r="K63" t="s">
        <v>89</v>
      </c>
    </row>
    <row r="64" spans="1:11">
      <c r="A64" s="39">
        <v>2</v>
      </c>
      <c r="B64" s="39">
        <v>251741</v>
      </c>
      <c r="C64" s="39" t="s">
        <v>95</v>
      </c>
      <c r="D64" s="39"/>
      <c r="E64" s="39" t="s">
        <v>101</v>
      </c>
      <c r="F64" s="39">
        <v>3010</v>
      </c>
      <c r="G64" s="39" t="s">
        <v>7</v>
      </c>
      <c r="H64" s="45" t="str">
        <f>J$9</f>
        <v>31 WEGVERHARDING II, 31.21 ASFALTVERHARDING, Bitumen emulsie kleeflaag 0,3 kgm2</v>
      </c>
      <c r="I64" s="46">
        <f>F64*K$9</f>
        <v>391.3</v>
      </c>
      <c r="J64" s="39"/>
      <c r="K64" t="s">
        <v>89</v>
      </c>
    </row>
    <row r="65" spans="1:11">
      <c r="A65" s="39">
        <v>2</v>
      </c>
      <c r="B65" s="39">
        <v>251743</v>
      </c>
      <c r="C65" s="39" t="s">
        <v>127</v>
      </c>
      <c r="D65" s="39"/>
      <c r="E65" s="39" t="s">
        <v>103</v>
      </c>
      <c r="F65" s="39">
        <v>3010</v>
      </c>
      <c r="G65" s="39" t="s">
        <v>7</v>
      </c>
      <c r="H65" s="45" t="str">
        <f>J$12</f>
        <v>Funderingslaag Betongranulaat 200mm</v>
      </c>
      <c r="I65" s="46">
        <f>K$12*F65</f>
        <v>25434.499999999996</v>
      </c>
      <c r="J65" s="39"/>
      <c r="K65" t="s">
        <v>89</v>
      </c>
    </row>
    <row r="66" spans="1:11">
      <c r="A66" s="39">
        <v>2</v>
      </c>
      <c r="B66" s="39">
        <v>251810</v>
      </c>
      <c r="C66" s="39" t="s">
        <v>11</v>
      </c>
      <c r="D66" s="39"/>
      <c r="E66" s="39" t="s">
        <v>98</v>
      </c>
      <c r="F66" s="39">
        <v>216</v>
      </c>
      <c r="G66" s="39" t="s">
        <v>52</v>
      </c>
      <c r="H66" s="54" t="str">
        <f>J$15</f>
        <v> AC bin base 50%PR cat. 2</v>
      </c>
      <c r="I66" s="55">
        <f>K$15*F66*1000</f>
        <v>10800</v>
      </c>
      <c r="J66" s="58" t="s">
        <v>94</v>
      </c>
      <c r="K66" t="s">
        <v>89</v>
      </c>
    </row>
    <row r="67" spans="1:11">
      <c r="A67" s="39">
        <v>2</v>
      </c>
      <c r="B67" s="39">
        <v>251820</v>
      </c>
      <c r="C67" s="39" t="s">
        <v>11</v>
      </c>
      <c r="D67" s="39"/>
      <c r="E67" s="39" t="s">
        <v>98</v>
      </c>
      <c r="F67" s="39">
        <v>216</v>
      </c>
      <c r="G67" s="39" t="s">
        <v>52</v>
      </c>
      <c r="H67" s="54" t="str">
        <f>J$15</f>
        <v> AC bin base 50%PR cat. 2</v>
      </c>
      <c r="I67" s="55">
        <f>K$15*F67*1000</f>
        <v>10800</v>
      </c>
      <c r="J67" s="58" t="s">
        <v>94</v>
      </c>
      <c r="K67" t="s">
        <v>89</v>
      </c>
    </row>
    <row r="68" spans="1:11">
      <c r="A68" s="39">
        <v>2</v>
      </c>
      <c r="B68" s="39">
        <v>251830</v>
      </c>
      <c r="C68" s="39" t="s">
        <v>11</v>
      </c>
      <c r="D68" s="39"/>
      <c r="E68" s="39" t="s">
        <v>125</v>
      </c>
      <c r="F68" s="39">
        <v>236</v>
      </c>
      <c r="G68" s="39" t="s">
        <v>52</v>
      </c>
      <c r="H68" s="54" t="str">
        <f>J$15</f>
        <v> AC bin base 50%PR cat. 2</v>
      </c>
      <c r="I68" s="55">
        <f>K$15*F68*1000</f>
        <v>11800</v>
      </c>
      <c r="J68" s="58" t="s">
        <v>94</v>
      </c>
      <c r="K68" t="s">
        <v>89</v>
      </c>
    </row>
    <row r="69" spans="1:11">
      <c r="A69" s="39">
        <v>2</v>
      </c>
      <c r="B69" s="39">
        <v>251831</v>
      </c>
      <c r="C69" s="39" t="s">
        <v>95</v>
      </c>
      <c r="D69" s="39"/>
      <c r="E69" s="39" t="s">
        <v>96</v>
      </c>
      <c r="F69" s="39">
        <v>1570</v>
      </c>
      <c r="G69" s="39" t="s">
        <v>7</v>
      </c>
      <c r="H69" s="45" t="str">
        <f>J$9</f>
        <v>31 WEGVERHARDING II, 31.21 ASFALTVERHARDING, Bitumen emulsie kleeflaag 0,3 kgm2</v>
      </c>
      <c r="I69" s="46">
        <f>F69*K$9</f>
        <v>204.1</v>
      </c>
      <c r="J69" s="39"/>
      <c r="K69" t="s">
        <v>89</v>
      </c>
    </row>
    <row r="70" spans="1:11">
      <c r="A70" s="39">
        <v>2</v>
      </c>
      <c r="B70" s="39">
        <v>251840</v>
      </c>
      <c r="C70" s="39" t="s">
        <v>8</v>
      </c>
      <c r="D70" s="39"/>
      <c r="E70" s="39" t="s">
        <v>128</v>
      </c>
      <c r="F70" s="39">
        <v>157</v>
      </c>
      <c r="G70" s="39" t="s">
        <v>52</v>
      </c>
      <c r="H70" s="45" t="str">
        <f>J$17</f>
        <v>AC surf mod bit 30%PR cat. 2</v>
      </c>
      <c r="I70" s="46">
        <f>K$17*F70</f>
        <v>46282.030000000006</v>
      </c>
      <c r="J70" s="39"/>
      <c r="K70" t="s">
        <v>89</v>
      </c>
    </row>
    <row r="71" spans="1:11">
      <c r="A71" s="39">
        <v>2</v>
      </c>
      <c r="B71" s="39">
        <v>251841</v>
      </c>
      <c r="C71" s="39" t="s">
        <v>95</v>
      </c>
      <c r="D71" s="39"/>
      <c r="E71" s="39" t="s">
        <v>101</v>
      </c>
      <c r="F71" s="39">
        <v>1570</v>
      </c>
      <c r="G71" s="39" t="s">
        <v>7</v>
      </c>
      <c r="H71" s="45" t="str">
        <f>J$9</f>
        <v>31 WEGVERHARDING II, 31.21 ASFALTVERHARDING, Bitumen emulsie kleeflaag 0,3 kgm2</v>
      </c>
      <c r="I71" s="46">
        <f>F71*K$9</f>
        <v>204.1</v>
      </c>
      <c r="J71" s="39"/>
      <c r="K71" t="s">
        <v>89</v>
      </c>
    </row>
    <row r="72" spans="1:11">
      <c r="A72" s="39">
        <v>2</v>
      </c>
      <c r="B72" s="39">
        <v>251843</v>
      </c>
      <c r="C72" s="39" t="s">
        <v>102</v>
      </c>
      <c r="D72" s="39"/>
      <c r="E72" s="39" t="s">
        <v>129</v>
      </c>
      <c r="F72" s="39">
        <v>1570</v>
      </c>
      <c r="G72" s="39" t="s">
        <v>7</v>
      </c>
      <c r="H72" s="45" t="str">
        <f>J$13</f>
        <v>Funderingslaag Betongranulaat 250mm</v>
      </c>
      <c r="I72" s="46">
        <f>K$13*F72</f>
        <v>15197.6</v>
      </c>
      <c r="J72" s="39"/>
      <c r="K72" t="s">
        <v>89</v>
      </c>
    </row>
    <row r="73" spans="1:11">
      <c r="A73" s="39">
        <v>2</v>
      </c>
      <c r="B73" s="39">
        <v>257010</v>
      </c>
      <c r="C73" s="39" t="s">
        <v>104</v>
      </c>
      <c r="D73" s="49"/>
      <c r="E73" s="49" t="s">
        <v>105</v>
      </c>
      <c r="F73" s="39">
        <v>205</v>
      </c>
      <c r="G73" s="39" t="s">
        <v>7</v>
      </c>
      <c r="H73" s="45" t="str">
        <f>J$21</f>
        <v> Beton, in het werk gestort, C2025, incl. wapening en waterkerende laag</v>
      </c>
      <c r="I73" s="49">
        <f>F73*K$21</f>
        <v>26186.7</v>
      </c>
      <c r="J73" s="49" t="s">
        <v>106</v>
      </c>
      <c r="K73" t="s">
        <v>89</v>
      </c>
    </row>
    <row r="74" spans="1:11">
      <c r="A74" s="39">
        <v>2</v>
      </c>
      <c r="B74" s="39">
        <v>257110</v>
      </c>
      <c r="C74" s="39" t="s">
        <v>104</v>
      </c>
      <c r="D74" s="49"/>
      <c r="E74" s="49" t="s">
        <v>105</v>
      </c>
      <c r="F74" s="39">
        <v>18</v>
      </c>
      <c r="G74" s="39" t="s">
        <v>7</v>
      </c>
      <c r="H74" s="45" t="str">
        <f>J$21</f>
        <v> Beton, in het werk gestort, C2025, incl. wapening en waterkerende laag</v>
      </c>
      <c r="I74" s="49">
        <f>F74*K$21</f>
        <v>2299.3199999999997</v>
      </c>
      <c r="J74" s="49" t="s">
        <v>106</v>
      </c>
      <c r="K74" t="s">
        <v>89</v>
      </c>
    </row>
    <row r="75" spans="1:11">
      <c r="A75" s="39">
        <v>2</v>
      </c>
      <c r="B75" s="39">
        <v>257210</v>
      </c>
      <c r="C75" s="39" t="s">
        <v>104</v>
      </c>
      <c r="D75" s="49"/>
      <c r="E75" s="49" t="s">
        <v>105</v>
      </c>
      <c r="F75" s="39">
        <v>309</v>
      </c>
      <c r="G75" s="39" t="s">
        <v>7</v>
      </c>
      <c r="H75" s="45" t="str">
        <f>J$21</f>
        <v> Beton, in het werk gestort, C2025, incl. wapening en waterkerende laag</v>
      </c>
      <c r="I75" s="49">
        <f>F75*K$21</f>
        <v>39471.659999999996</v>
      </c>
      <c r="J75" s="49" t="s">
        <v>106</v>
      </c>
      <c r="K75" t="s">
        <v>89</v>
      </c>
    </row>
    <row r="76" spans="1:11">
      <c r="A76" s="39">
        <v>2</v>
      </c>
      <c r="B76" s="39">
        <v>260110</v>
      </c>
      <c r="C76" s="39" t="s">
        <v>107</v>
      </c>
      <c r="D76" s="49"/>
      <c r="E76" s="49" t="s">
        <v>108</v>
      </c>
      <c r="F76" s="39">
        <v>440</v>
      </c>
      <c r="G76" s="39" t="s">
        <v>7</v>
      </c>
      <c r="H76" s="45" t="str">
        <f>J$22</f>
        <v> Straatbaksteen B&amp;U, KNB</v>
      </c>
      <c r="I76" s="49">
        <f>K$22 *F76</f>
        <v>6208.4</v>
      </c>
      <c r="J76" s="49"/>
      <c r="K76" t="s">
        <v>89</v>
      </c>
    </row>
    <row r="77" spans="1:11">
      <c r="A77" s="39">
        <v>2</v>
      </c>
      <c r="B77" s="39">
        <v>271510</v>
      </c>
      <c r="C77" s="39" t="s">
        <v>109</v>
      </c>
      <c r="D77" s="39"/>
      <c r="E77" s="39" t="s">
        <v>130</v>
      </c>
      <c r="F77" s="39">
        <v>6.1</v>
      </c>
      <c r="G77" s="58" t="s">
        <v>7</v>
      </c>
      <c r="H77" s="45" t="str">
        <f>J$8</f>
        <v>Lengtemarkering, thermoplastisch,doorlopend</v>
      </c>
      <c r="I77" s="46">
        <f>K$8*F77</f>
        <v>215.63499999999999</v>
      </c>
      <c r="J77" s="39"/>
      <c r="K77" t="s">
        <v>89</v>
      </c>
    </row>
    <row r="78" spans="1:11">
      <c r="A78" s="39">
        <v>2</v>
      </c>
      <c r="B78" s="39">
        <v>272010</v>
      </c>
      <c r="C78" s="39" t="s">
        <v>109</v>
      </c>
      <c r="D78" s="39"/>
      <c r="E78" s="39" t="s">
        <v>110</v>
      </c>
      <c r="F78" s="39">
        <f>1910*0.15</f>
        <v>286.5</v>
      </c>
      <c r="G78" s="58" t="s">
        <v>7</v>
      </c>
      <c r="H78" s="45" t="str">
        <f>J$7</f>
        <v>Lengtemarkering, koudplastisch</v>
      </c>
      <c r="I78" s="46">
        <f>K$7*F78</f>
        <v>7787.07</v>
      </c>
      <c r="J78" s="39" t="s">
        <v>111</v>
      </c>
      <c r="K78" t="s">
        <v>89</v>
      </c>
    </row>
    <row r="79" spans="1:11">
      <c r="A79" s="39">
        <v>2</v>
      </c>
      <c r="B79" s="39">
        <v>272020</v>
      </c>
      <c r="C79" s="39" t="s">
        <v>109</v>
      </c>
      <c r="D79" s="39"/>
      <c r="E79" s="39" t="s">
        <v>112</v>
      </c>
      <c r="F79" s="39">
        <f>(840/2)*0.15</f>
        <v>63</v>
      </c>
      <c r="G79" s="58" t="s">
        <v>7</v>
      </c>
      <c r="H79" s="45" t="str">
        <f>J$7</f>
        <v>Lengtemarkering, koudplastisch</v>
      </c>
      <c r="I79" s="46">
        <f>K$7*F79</f>
        <v>1712.34</v>
      </c>
      <c r="J79" s="40" t="s">
        <v>113</v>
      </c>
      <c r="K79" t="s">
        <v>89</v>
      </c>
    </row>
    <row r="80" spans="1:11">
      <c r="A80" s="39">
        <v>2</v>
      </c>
      <c r="B80" s="39">
        <v>272030</v>
      </c>
      <c r="C80" s="39" t="s">
        <v>109</v>
      </c>
      <c r="D80" s="39"/>
      <c r="E80" s="39" t="s">
        <v>114</v>
      </c>
      <c r="F80" s="39">
        <f>(100/2)*0.15</f>
        <v>7.5</v>
      </c>
      <c r="G80" s="58" t="s">
        <v>7</v>
      </c>
      <c r="H80" s="45" t="str">
        <f>J$7</f>
        <v>Lengtemarkering, koudplastisch</v>
      </c>
      <c r="I80" s="46">
        <f>K$7*F80</f>
        <v>203.85</v>
      </c>
      <c r="J80" s="40" t="s">
        <v>113</v>
      </c>
      <c r="K80" t="s">
        <v>89</v>
      </c>
    </row>
    <row r="81" spans="1:11">
      <c r="A81" s="39">
        <v>2</v>
      </c>
      <c r="B81" s="39">
        <v>272040</v>
      </c>
      <c r="C81" s="39" t="s">
        <v>109</v>
      </c>
      <c r="D81" s="39"/>
      <c r="E81" s="39" t="s">
        <v>131</v>
      </c>
      <c r="F81" s="39">
        <f>(50/2)*0.1</f>
        <v>2.5</v>
      </c>
      <c r="G81" s="58" t="s">
        <v>7</v>
      </c>
      <c r="H81" s="45" t="str">
        <f>J$7</f>
        <v>Lengtemarkering, koudplastisch</v>
      </c>
      <c r="I81" s="46">
        <f>K$7*F81</f>
        <v>67.95</v>
      </c>
      <c r="J81" s="40" t="s">
        <v>113</v>
      </c>
      <c r="K81" t="s">
        <v>89</v>
      </c>
    </row>
    <row r="82" spans="1:11">
      <c r="A82" s="39">
        <v>2</v>
      </c>
      <c r="B82" s="39">
        <v>272090</v>
      </c>
      <c r="C82" s="39" t="s">
        <v>109</v>
      </c>
      <c r="D82" s="39"/>
      <c r="E82" s="39" t="s">
        <v>119</v>
      </c>
      <c r="F82" s="39">
        <v>85.75</v>
      </c>
      <c r="G82" s="58" t="s">
        <v>7</v>
      </c>
      <c r="H82" s="45" t="str">
        <f>J$19</f>
        <v>Lengtemarkering, koudplastisch</v>
      </c>
      <c r="I82" s="46">
        <f>K$19*F82</f>
        <v>2330.6849999999999</v>
      </c>
      <c r="J82" s="39"/>
      <c r="K82" t="s">
        <v>89</v>
      </c>
    </row>
    <row r="83" spans="1:11">
      <c r="A83" s="41">
        <v>3</v>
      </c>
      <c r="B83" s="41">
        <v>300000</v>
      </c>
      <c r="C83" s="41"/>
      <c r="D83" s="41"/>
      <c r="E83" s="41"/>
      <c r="F83" s="41"/>
      <c r="G83" s="41"/>
      <c r="H83" s="42"/>
      <c r="I83" s="43"/>
      <c r="J83" s="41"/>
    </row>
    <row r="84" spans="1:11">
      <c r="A84" s="39">
        <v>3</v>
      </c>
      <c r="B84" s="39">
        <v>341020</v>
      </c>
      <c r="C84" s="39" t="s">
        <v>16</v>
      </c>
      <c r="D84" s="39"/>
      <c r="E84" s="39" t="s">
        <v>132</v>
      </c>
      <c r="F84" s="39">
        <v>6500</v>
      </c>
      <c r="G84" s="39" t="s">
        <v>7</v>
      </c>
      <c r="H84" s="45" t="s">
        <v>12</v>
      </c>
      <c r="I84" s="46">
        <f>F84*K$6</f>
        <v>38220</v>
      </c>
      <c r="J84" s="39"/>
      <c r="K84" t="s">
        <v>89</v>
      </c>
    </row>
    <row r="85" spans="1:11">
      <c r="A85" s="39">
        <v>3</v>
      </c>
      <c r="B85" s="39">
        <v>341030</v>
      </c>
      <c r="C85" s="39" t="s">
        <v>16</v>
      </c>
      <c r="D85" s="39"/>
      <c r="E85" s="39" t="s">
        <v>121</v>
      </c>
      <c r="F85" s="39">
        <v>360</v>
      </c>
      <c r="G85" s="39" t="s">
        <v>7</v>
      </c>
      <c r="H85" s="51" t="str">
        <f>J$2</f>
        <v>Funderingslaag Menggranulaat 250mm</v>
      </c>
      <c r="I85" s="46">
        <f>F85*K$2</f>
        <v>3211.2</v>
      </c>
      <c r="J85" s="39"/>
      <c r="K85" t="s">
        <v>89</v>
      </c>
    </row>
    <row r="86" spans="1:11">
      <c r="A86" s="39">
        <v>3</v>
      </c>
      <c r="B86" s="39">
        <v>342310</v>
      </c>
      <c r="C86" s="39" t="s">
        <v>91</v>
      </c>
      <c r="D86" s="39"/>
      <c r="E86" s="39" t="s">
        <v>92</v>
      </c>
      <c r="F86" s="39">
        <v>8125</v>
      </c>
      <c r="G86" s="39" t="s">
        <v>7</v>
      </c>
      <c r="H86" s="45" t="str">
        <f>J$20</f>
        <v>Funderingslaag Betongranulaat 250mm</v>
      </c>
      <c r="I86" s="46">
        <f>F86*K$20</f>
        <v>78650</v>
      </c>
      <c r="J86" s="40"/>
      <c r="K86" t="s">
        <v>89</v>
      </c>
    </row>
    <row r="87" spans="1:11">
      <c r="A87" s="39">
        <v>3</v>
      </c>
      <c r="B87" s="39">
        <v>353310</v>
      </c>
      <c r="C87" s="39" t="s">
        <v>34</v>
      </c>
      <c r="D87" s="39"/>
      <c r="E87" s="39" t="s">
        <v>133</v>
      </c>
      <c r="F87" s="39">
        <v>1070</v>
      </c>
      <c r="G87" s="39" t="s">
        <v>7</v>
      </c>
      <c r="H87" s="45" t="str">
        <f>J$21</f>
        <v> Beton, in het werk gestort, C2025, incl. wapening en waterkerende laag</v>
      </c>
      <c r="I87" s="49">
        <f>F87*K$21</f>
        <v>136681.79999999999</v>
      </c>
      <c r="J87" s="49" t="s">
        <v>134</v>
      </c>
      <c r="K87" t="s">
        <v>89</v>
      </c>
    </row>
    <row r="88" spans="1:11">
      <c r="A88" s="39">
        <v>3</v>
      </c>
      <c r="B88" s="39">
        <v>353320</v>
      </c>
      <c r="C88" s="39" t="s">
        <v>34</v>
      </c>
      <c r="D88" s="49"/>
      <c r="E88" s="39" t="s">
        <v>133</v>
      </c>
      <c r="F88" s="39">
        <v>520</v>
      </c>
      <c r="G88" s="39" t="s">
        <v>7</v>
      </c>
      <c r="H88" s="45" t="str">
        <f>J$21</f>
        <v> Beton, in het werk gestort, C2025, incl. wapening en waterkerende laag</v>
      </c>
      <c r="I88" s="49">
        <f>F88*K$21</f>
        <v>66424.800000000003</v>
      </c>
      <c r="J88" s="49" t="s">
        <v>134</v>
      </c>
      <c r="K88" t="s">
        <v>89</v>
      </c>
    </row>
    <row r="89" spans="1:11">
      <c r="A89" s="39">
        <v>3</v>
      </c>
      <c r="B89" s="39">
        <v>353320</v>
      </c>
      <c r="C89" s="39" t="s">
        <v>34</v>
      </c>
      <c r="D89" s="49"/>
      <c r="E89" s="39" t="s">
        <v>133</v>
      </c>
      <c r="F89" s="39">
        <v>24</v>
      </c>
      <c r="G89" s="39" t="s">
        <v>7</v>
      </c>
      <c r="H89" s="45" t="str">
        <f>J$21</f>
        <v> Beton, in het werk gestort, C2025, incl. wapening en waterkerende laag</v>
      </c>
      <c r="I89" s="49">
        <f>F89*K$21</f>
        <v>3065.7599999999998</v>
      </c>
      <c r="J89" s="49" t="s">
        <v>134</v>
      </c>
      <c r="K89" t="s">
        <v>89</v>
      </c>
    </row>
    <row r="90" spans="1:11">
      <c r="A90" s="39">
        <v>3</v>
      </c>
      <c r="B90" s="39">
        <v>360110</v>
      </c>
      <c r="C90" s="39" t="s">
        <v>107</v>
      </c>
      <c r="D90" s="49"/>
      <c r="E90" s="49" t="s">
        <v>108</v>
      </c>
      <c r="F90" s="39">
        <v>94</v>
      </c>
      <c r="G90" s="39" t="s">
        <v>7</v>
      </c>
      <c r="H90" s="45" t="str">
        <f>J$22</f>
        <v> Straatbaksteen B&amp;U, KNB</v>
      </c>
      <c r="I90" s="49">
        <f>K$22 *F90</f>
        <v>1326.34</v>
      </c>
      <c r="J90" s="49"/>
      <c r="K90" t="s">
        <v>89</v>
      </c>
    </row>
    <row r="91" spans="1:11">
      <c r="A91" s="39">
        <v>3</v>
      </c>
      <c r="B91" s="39">
        <v>372110</v>
      </c>
      <c r="C91" s="39" t="s">
        <v>109</v>
      </c>
      <c r="D91" s="39"/>
      <c r="E91" s="39" t="s">
        <v>110</v>
      </c>
      <c r="F91" s="39">
        <f>8640*0.15</f>
        <v>1296</v>
      </c>
      <c r="G91" s="58" t="s">
        <v>7</v>
      </c>
      <c r="H91" s="45" t="str">
        <f>J$7</f>
        <v>Lengtemarkering, koudplastisch</v>
      </c>
      <c r="I91" s="46">
        <f>K$7*F91</f>
        <v>35225.279999999999</v>
      </c>
      <c r="J91" s="40" t="s">
        <v>111</v>
      </c>
      <c r="K91" t="s">
        <v>89</v>
      </c>
    </row>
    <row r="92" spans="1:11">
      <c r="A92" s="39">
        <v>3</v>
      </c>
      <c r="B92" s="39">
        <v>372120</v>
      </c>
      <c r="C92" s="39" t="s">
        <v>109</v>
      </c>
      <c r="D92" s="39"/>
      <c r="E92" s="39" t="s">
        <v>112</v>
      </c>
      <c r="F92" s="39">
        <f>(8640/2)*0.15</f>
        <v>648</v>
      </c>
      <c r="G92" s="58" t="s">
        <v>7</v>
      </c>
      <c r="H92" s="45" t="str">
        <f>J$7</f>
        <v>Lengtemarkering, koudplastisch</v>
      </c>
      <c r="I92" s="46">
        <f>K$7*F92</f>
        <v>17612.64</v>
      </c>
      <c r="J92" s="40" t="s">
        <v>113</v>
      </c>
      <c r="K92" t="s">
        <v>89</v>
      </c>
    </row>
    <row r="93" spans="1:11">
      <c r="A93" s="39">
        <v>3</v>
      </c>
      <c r="B93" s="39">
        <v>372130</v>
      </c>
      <c r="C93" s="39" t="s">
        <v>109</v>
      </c>
      <c r="D93" s="39"/>
      <c r="E93" s="39" t="s">
        <v>114</v>
      </c>
      <c r="F93" s="39">
        <f>(20/2)*0.15</f>
        <v>1.5</v>
      </c>
      <c r="G93" s="58" t="s">
        <v>7</v>
      </c>
      <c r="H93" s="45" t="str">
        <f>J$7</f>
        <v>Lengtemarkering, koudplastisch</v>
      </c>
      <c r="I93" s="46">
        <f>K$7*F93</f>
        <v>40.769999999999996</v>
      </c>
      <c r="J93" s="40" t="s">
        <v>113</v>
      </c>
      <c r="K93" t="s">
        <v>89</v>
      </c>
    </row>
    <row r="94" spans="1:11">
      <c r="A94" s="39">
        <v>3</v>
      </c>
      <c r="B94" s="39">
        <v>372160</v>
      </c>
      <c r="C94" s="39" t="s">
        <v>109</v>
      </c>
      <c r="D94" s="39"/>
      <c r="E94" s="39" t="s">
        <v>119</v>
      </c>
      <c r="F94" s="39">
        <v>110</v>
      </c>
      <c r="G94" s="39" t="s">
        <v>7</v>
      </c>
      <c r="H94" s="45" t="str">
        <f>J$19</f>
        <v>Lengtemarkering, koudplastisch</v>
      </c>
      <c r="I94" s="46">
        <f>K$19*F94</f>
        <v>2989.8</v>
      </c>
      <c r="J94" s="39"/>
      <c r="K94" t="s">
        <v>89</v>
      </c>
    </row>
    <row r="95" spans="1:11">
      <c r="A95" s="41">
        <v>4</v>
      </c>
      <c r="B95" s="41">
        <v>400000</v>
      </c>
      <c r="C95" s="41"/>
      <c r="D95" s="41"/>
      <c r="E95" s="41"/>
      <c r="F95" s="41"/>
      <c r="G95" s="41"/>
      <c r="H95" s="42"/>
      <c r="I95" s="43"/>
      <c r="J95" s="41"/>
    </row>
    <row r="96" spans="1:11">
      <c r="A96" s="39">
        <v>4</v>
      </c>
      <c r="B96" s="39">
        <v>457010</v>
      </c>
      <c r="C96" s="39" t="s">
        <v>104</v>
      </c>
      <c r="D96" s="49"/>
      <c r="E96" s="49" t="s">
        <v>105</v>
      </c>
      <c r="F96" s="39">
        <v>385</v>
      </c>
      <c r="G96" s="39" t="s">
        <v>7</v>
      </c>
      <c r="H96" s="45" t="str">
        <f>J$21</f>
        <v> Beton, in het werk gestort, C2025, incl. wapening en waterkerende laag</v>
      </c>
      <c r="I96" s="49">
        <f>F96*K$21</f>
        <v>49179.9</v>
      </c>
      <c r="J96" s="49" t="s">
        <v>106</v>
      </c>
      <c r="K96" t="s">
        <v>89</v>
      </c>
    </row>
    <row r="97" spans="1:11">
      <c r="A97" s="39">
        <v>4</v>
      </c>
      <c r="B97" s="39">
        <v>472110</v>
      </c>
      <c r="C97" s="39" t="s">
        <v>109</v>
      </c>
      <c r="D97" s="39"/>
      <c r="E97" s="39" t="s">
        <v>110</v>
      </c>
      <c r="F97" s="39">
        <f>720*0.15</f>
        <v>108</v>
      </c>
      <c r="G97" s="39" t="s">
        <v>7</v>
      </c>
      <c r="H97" s="45" t="str">
        <f>J$7</f>
        <v>Lengtemarkering, koudplastisch</v>
      </c>
      <c r="I97" s="46">
        <f>K$7*F97</f>
        <v>2935.44</v>
      </c>
      <c r="J97" s="39"/>
      <c r="K97" t="s">
        <v>89</v>
      </c>
    </row>
    <row r="98" spans="1:11">
      <c r="A98" s="39">
        <v>4</v>
      </c>
      <c r="B98" s="39">
        <v>472120</v>
      </c>
      <c r="C98" s="39" t="s">
        <v>109</v>
      </c>
      <c r="D98" s="39"/>
      <c r="E98" s="39" t="s">
        <v>112</v>
      </c>
      <c r="F98" s="39">
        <f>(570/2)*0.15</f>
        <v>42.75</v>
      </c>
      <c r="G98" s="39" t="s">
        <v>7</v>
      </c>
      <c r="H98" s="45" t="str">
        <f>J$7</f>
        <v>Lengtemarkering, koudplastisch</v>
      </c>
      <c r="I98" s="46">
        <f>K$7*F98</f>
        <v>1161.9449999999999</v>
      </c>
      <c r="J98" s="39"/>
      <c r="K98" t="s">
        <v>89</v>
      </c>
    </row>
    <row r="99" spans="1:11">
      <c r="A99" s="39">
        <v>4</v>
      </c>
      <c r="B99" s="39">
        <v>472130</v>
      </c>
      <c r="C99" s="39" t="s">
        <v>109</v>
      </c>
      <c r="D99" s="39"/>
      <c r="E99" s="39" t="s">
        <v>114</v>
      </c>
      <c r="F99" s="39">
        <f>(40/2)*0.15</f>
        <v>3</v>
      </c>
      <c r="G99" s="58" t="s">
        <v>7</v>
      </c>
      <c r="H99" s="45" t="str">
        <f>J$7</f>
        <v>Lengtemarkering, koudplastisch</v>
      </c>
      <c r="I99" s="46">
        <f>K$7*F99</f>
        <v>81.539999999999992</v>
      </c>
      <c r="J99" s="39"/>
      <c r="K99" t="s">
        <v>89</v>
      </c>
    </row>
    <row r="100" spans="1:11">
      <c r="A100" s="39">
        <v>4</v>
      </c>
      <c r="B100" s="39">
        <v>472160</v>
      </c>
      <c r="C100" s="39" t="s">
        <v>109</v>
      </c>
      <c r="D100" s="39"/>
      <c r="E100" s="39" t="s">
        <v>119</v>
      </c>
      <c r="F100" s="39">
        <v>81.819999999999993</v>
      </c>
      <c r="G100" s="39" t="s">
        <v>7</v>
      </c>
      <c r="H100" s="45" t="str">
        <f>J$19</f>
        <v>Lengtemarkering, koudplastisch</v>
      </c>
      <c r="I100" s="46">
        <f>K$19*F100</f>
        <v>2223.8675999999996</v>
      </c>
      <c r="J100" s="39"/>
      <c r="K100" t="s">
        <v>89</v>
      </c>
    </row>
    <row r="101" spans="1:11">
      <c r="A101" s="41">
        <v>5</v>
      </c>
      <c r="B101" s="41">
        <v>500000</v>
      </c>
      <c r="C101" s="41"/>
      <c r="D101" s="41"/>
      <c r="E101" s="41"/>
      <c r="F101" s="41"/>
      <c r="G101" s="41"/>
      <c r="H101" s="42"/>
      <c r="I101" s="43"/>
      <c r="J101" s="41"/>
    </row>
    <row r="102" spans="1:11">
      <c r="A102" s="39">
        <v>5</v>
      </c>
      <c r="B102" s="39">
        <v>541020</v>
      </c>
      <c r="C102" s="39" t="s">
        <v>16</v>
      </c>
      <c r="D102" s="39"/>
      <c r="E102" s="39" t="s">
        <v>135</v>
      </c>
      <c r="F102" s="39">
        <v>3305</v>
      </c>
      <c r="G102" s="39" t="s">
        <v>7</v>
      </c>
      <c r="H102" s="45" t="str">
        <f>J$3</f>
        <v>Extrp. Funderingslaag Menggranulaat 230mm</v>
      </c>
      <c r="I102" s="46">
        <f>K$3*F102</f>
        <v>27122.152000000002</v>
      </c>
      <c r="J102" s="39" t="s">
        <v>136</v>
      </c>
      <c r="K102" t="s">
        <v>89</v>
      </c>
    </row>
    <row r="103" spans="1:11">
      <c r="A103" s="39">
        <v>3</v>
      </c>
      <c r="B103" s="39">
        <v>542310</v>
      </c>
      <c r="C103" s="39" t="s">
        <v>91</v>
      </c>
      <c r="D103" s="39"/>
      <c r="E103" s="39" t="s">
        <v>92</v>
      </c>
      <c r="F103" s="39">
        <v>4130</v>
      </c>
      <c r="G103" s="39" t="s">
        <v>7</v>
      </c>
      <c r="H103" s="45" t="str">
        <f>J$20</f>
        <v>Funderingslaag Betongranulaat 250mm</v>
      </c>
      <c r="I103" s="46">
        <f>F103*K$20</f>
        <v>39978.400000000001</v>
      </c>
      <c r="J103" s="39"/>
      <c r="K103" t="s">
        <v>89</v>
      </c>
    </row>
    <row r="104" spans="1:11">
      <c r="A104" s="39">
        <v>5</v>
      </c>
      <c r="B104" s="39">
        <v>551530</v>
      </c>
      <c r="C104" s="39" t="s">
        <v>11</v>
      </c>
      <c r="D104" s="39"/>
      <c r="E104" s="39" t="s">
        <v>137</v>
      </c>
      <c r="F104" s="39">
        <v>358.75</v>
      </c>
      <c r="G104" s="39" t="s">
        <v>52</v>
      </c>
      <c r="H104" s="54" t="str">
        <f>J$15</f>
        <v> AC bin base 50%PR cat. 2</v>
      </c>
      <c r="I104" s="55">
        <f>K$15*F104*1000</f>
        <v>17937.5</v>
      </c>
      <c r="J104" s="58" t="s">
        <v>94</v>
      </c>
      <c r="K104" t="s">
        <v>89</v>
      </c>
    </row>
    <row r="105" spans="1:11">
      <c r="A105" s="39">
        <v>5</v>
      </c>
      <c r="B105" s="39">
        <v>551531</v>
      </c>
      <c r="C105" s="39" t="s">
        <v>13</v>
      </c>
      <c r="D105" s="39"/>
      <c r="E105" s="39" t="s">
        <v>101</v>
      </c>
      <c r="F105" s="39">
        <v>2050</v>
      </c>
      <c r="G105" s="39" t="s">
        <v>7</v>
      </c>
      <c r="H105" s="45" t="str">
        <f>J$9</f>
        <v>31 WEGVERHARDING II, 31.21 ASFALTVERHARDING, Bitumen emulsie kleeflaag 0,3 kgm2</v>
      </c>
      <c r="I105" s="46">
        <f>F105*K$9</f>
        <v>266.5</v>
      </c>
      <c r="J105" s="39"/>
      <c r="K105" t="s">
        <v>89</v>
      </c>
    </row>
    <row r="106" spans="1:11">
      <c r="A106" s="39">
        <v>5</v>
      </c>
      <c r="B106" s="39">
        <v>551540</v>
      </c>
      <c r="C106" s="39" t="s">
        <v>8</v>
      </c>
      <c r="D106" s="39"/>
      <c r="E106" s="39" t="s">
        <v>138</v>
      </c>
      <c r="F106" s="39">
        <v>1179</v>
      </c>
      <c r="G106" s="39" t="s">
        <v>52</v>
      </c>
      <c r="H106" s="45" t="str">
        <f>J$16</f>
        <v>AC surf 30%PR cat. 2</v>
      </c>
      <c r="I106" s="46">
        <f>K$16*F106</f>
        <v>293229.09000000003</v>
      </c>
      <c r="J106" s="39"/>
      <c r="K106" t="s">
        <v>89</v>
      </c>
    </row>
    <row r="107" spans="1:11">
      <c r="A107" s="39">
        <v>5</v>
      </c>
      <c r="B107" s="39">
        <v>551541</v>
      </c>
      <c r="C107" s="39" t="s">
        <v>13</v>
      </c>
      <c r="D107" s="39"/>
      <c r="E107" s="39" t="s">
        <v>139</v>
      </c>
      <c r="F107" s="39">
        <v>15720</v>
      </c>
      <c r="G107" s="39" t="s">
        <v>7</v>
      </c>
      <c r="H107" s="45" t="str">
        <f>J$10</f>
        <v>31 WEGVERHARDING II, 31.21 ASFALTVERHARDING, Bitumen emulsie kleeflaag 0,4 kgm2</v>
      </c>
      <c r="I107" s="46">
        <f>F107*K$10</f>
        <v>2672.4</v>
      </c>
      <c r="J107" s="39"/>
      <c r="K107" t="s">
        <v>89</v>
      </c>
    </row>
    <row r="108" spans="1:11">
      <c r="A108" s="39">
        <v>5</v>
      </c>
      <c r="B108" s="39">
        <v>551543</v>
      </c>
      <c r="C108" s="39" t="s">
        <v>102</v>
      </c>
      <c r="D108" s="39"/>
      <c r="E108" s="39" t="s">
        <v>129</v>
      </c>
      <c r="F108" s="39">
        <v>11790</v>
      </c>
      <c r="G108" s="39" t="s">
        <v>7</v>
      </c>
      <c r="H108" s="45" t="str">
        <f>J$13</f>
        <v>Funderingslaag Betongranulaat 250mm</v>
      </c>
      <c r="I108" s="46">
        <f>K$13*F108</f>
        <v>114127.2</v>
      </c>
      <c r="J108" s="39"/>
      <c r="K108" t="s">
        <v>89</v>
      </c>
    </row>
    <row r="109" spans="1:11">
      <c r="A109" s="39">
        <v>5</v>
      </c>
      <c r="B109" s="39">
        <v>560110</v>
      </c>
      <c r="C109" s="39" t="s">
        <v>107</v>
      </c>
      <c r="D109" s="49"/>
      <c r="E109" s="49" t="s">
        <v>108</v>
      </c>
      <c r="F109" s="39">
        <v>38</v>
      </c>
      <c r="G109" s="49" t="s">
        <v>7</v>
      </c>
      <c r="H109" s="45" t="str">
        <f>J$22</f>
        <v> Straatbaksteen B&amp;U, KNB</v>
      </c>
      <c r="I109" s="49">
        <f>K$22 *F109</f>
        <v>536.17999999999995</v>
      </c>
      <c r="J109" s="49"/>
      <c r="K109" t="s">
        <v>89</v>
      </c>
    </row>
    <row r="110" spans="1:11">
      <c r="A110" s="39">
        <v>5</v>
      </c>
      <c r="B110" s="39">
        <v>572010</v>
      </c>
      <c r="C110" s="39" t="s">
        <v>109</v>
      </c>
      <c r="D110" s="39"/>
      <c r="E110" s="39" t="s">
        <v>110</v>
      </c>
      <c r="F110" s="39">
        <f>4200*0.15</f>
        <v>630</v>
      </c>
      <c r="G110" s="58" t="s">
        <v>7</v>
      </c>
      <c r="H110" s="45" t="str">
        <f>J$7</f>
        <v>Lengtemarkering, koudplastisch</v>
      </c>
      <c r="I110" s="46">
        <f>K$7*F110</f>
        <v>17123.400000000001</v>
      </c>
      <c r="J110" s="39" t="s">
        <v>111</v>
      </c>
      <c r="K110" t="s">
        <v>89</v>
      </c>
    </row>
    <row r="111" spans="1:11">
      <c r="A111" s="39">
        <v>5</v>
      </c>
      <c r="B111" s="39">
        <v>572020</v>
      </c>
      <c r="C111" s="39" t="s">
        <v>109</v>
      </c>
      <c r="D111" s="39"/>
      <c r="E111" s="39" t="s">
        <v>112</v>
      </c>
      <c r="F111" s="39">
        <f>(4210/2)*0.15</f>
        <v>315.75</v>
      </c>
      <c r="G111" s="58" t="s">
        <v>7</v>
      </c>
      <c r="H111" s="45" t="str">
        <f>J$7</f>
        <v>Lengtemarkering, koudplastisch</v>
      </c>
      <c r="I111" s="46">
        <f>K$7*F111</f>
        <v>8582.0849999999991</v>
      </c>
      <c r="J111" s="40" t="s">
        <v>113</v>
      </c>
      <c r="K111" t="s">
        <v>89</v>
      </c>
    </row>
    <row r="112" spans="1:11">
      <c r="A112" s="39">
        <v>5</v>
      </c>
      <c r="B112" s="39">
        <v>572030</v>
      </c>
      <c r="C112" s="39" t="s">
        <v>109</v>
      </c>
      <c r="D112" s="39"/>
      <c r="E112" s="39" t="s">
        <v>114</v>
      </c>
      <c r="F112" s="39">
        <f>(10/2)*0.15</f>
        <v>0.75</v>
      </c>
      <c r="G112" s="58" t="s">
        <v>7</v>
      </c>
      <c r="H112" s="45" t="str">
        <f>J$7</f>
        <v>Lengtemarkering, koudplastisch</v>
      </c>
      <c r="I112" s="46">
        <f>K$7*F112</f>
        <v>20.384999999999998</v>
      </c>
      <c r="J112" s="40" t="s">
        <v>113</v>
      </c>
      <c r="K112" t="s">
        <v>89</v>
      </c>
    </row>
    <row r="113" spans="1:11">
      <c r="A113" s="41">
        <v>6</v>
      </c>
      <c r="B113" s="41">
        <v>600000</v>
      </c>
      <c r="C113" s="41"/>
      <c r="D113" s="41"/>
      <c r="E113" s="41"/>
      <c r="F113" s="41"/>
      <c r="G113" s="41"/>
      <c r="H113" s="42"/>
      <c r="I113" s="43"/>
      <c r="J113" s="41"/>
      <c r="K113" t="s">
        <v>89</v>
      </c>
    </row>
    <row r="114" spans="1:11">
      <c r="A114" s="39">
        <v>6</v>
      </c>
      <c r="B114" s="39">
        <v>651010</v>
      </c>
      <c r="C114" s="39" t="s">
        <v>11</v>
      </c>
      <c r="D114" s="39"/>
      <c r="E114" s="39" t="s">
        <v>140</v>
      </c>
      <c r="F114" s="39">
        <v>483</v>
      </c>
      <c r="G114" s="39" t="s">
        <v>52</v>
      </c>
      <c r="H114" s="54" t="str">
        <f>J$15</f>
        <v> AC bin base 50%PR cat. 2</v>
      </c>
      <c r="I114" s="55">
        <f>K$15*F114*1000</f>
        <v>24150.000000000004</v>
      </c>
      <c r="J114" s="58" t="s">
        <v>94</v>
      </c>
      <c r="K114" t="s">
        <v>89</v>
      </c>
    </row>
    <row r="115" spans="1:11">
      <c r="A115" s="39">
        <v>6</v>
      </c>
      <c r="B115" s="39">
        <v>651011</v>
      </c>
      <c r="C115" s="39" t="s">
        <v>13</v>
      </c>
      <c r="D115" s="39"/>
      <c r="E115" s="39" t="s">
        <v>141</v>
      </c>
      <c r="F115" s="39">
        <v>3864</v>
      </c>
      <c r="G115" s="39" t="s">
        <v>7</v>
      </c>
      <c r="H115" s="45" t="str">
        <f>J$11</f>
        <v>Extrp. 31 WEGVERHARDING II, 31.21 ASFALTVERHARDING, Bitumen emulsie kleeflaag 0,5 kg/m2</v>
      </c>
      <c r="I115" s="46">
        <f>K$11*F115</f>
        <v>821.1</v>
      </c>
      <c r="J115" s="39" t="s">
        <v>142</v>
      </c>
      <c r="K115" t="s">
        <v>89</v>
      </c>
    </row>
    <row r="116" spans="1:11">
      <c r="A116" s="39">
        <v>6</v>
      </c>
      <c r="B116" s="39">
        <v>651020</v>
      </c>
      <c r="C116" s="39" t="s">
        <v>13</v>
      </c>
      <c r="D116" s="39"/>
      <c r="E116" s="39" t="s">
        <v>96</v>
      </c>
      <c r="F116" s="39">
        <v>3770</v>
      </c>
      <c r="G116" s="39" t="s">
        <v>7</v>
      </c>
      <c r="H116" s="45" t="str">
        <f>J$9</f>
        <v>31 WEGVERHARDING II, 31.21 ASFALTVERHARDING, Bitumen emulsie kleeflaag 0,3 kgm2</v>
      </c>
      <c r="I116" s="46">
        <f>F116*K$9</f>
        <v>490.1</v>
      </c>
      <c r="J116" s="39"/>
      <c r="K116" t="s">
        <v>89</v>
      </c>
    </row>
    <row r="117" spans="1:11">
      <c r="A117" s="39">
        <v>6</v>
      </c>
      <c r="B117" s="39">
        <v>651020</v>
      </c>
      <c r="C117" s="39" t="s">
        <v>8</v>
      </c>
      <c r="D117" s="39"/>
      <c r="E117" s="39" t="s">
        <v>143</v>
      </c>
      <c r="F117" s="39">
        <v>283</v>
      </c>
      <c r="G117" s="39" t="s">
        <v>52</v>
      </c>
      <c r="H117" s="45" t="str">
        <f>J$14</f>
        <v>SMANL 811</v>
      </c>
      <c r="I117" s="46">
        <f>K$16*F117</f>
        <v>70384.930000000008</v>
      </c>
      <c r="J117" s="39"/>
      <c r="K117" t="s">
        <v>89</v>
      </c>
    </row>
    <row r="118" spans="1:11">
      <c r="A118" s="41">
        <v>7</v>
      </c>
      <c r="B118" s="41">
        <v>700000</v>
      </c>
      <c r="C118" s="41"/>
      <c r="D118" s="41"/>
      <c r="E118" s="41"/>
      <c r="F118" s="41"/>
      <c r="G118" s="41"/>
      <c r="H118" s="42"/>
      <c r="I118" s="43"/>
      <c r="J118" s="41"/>
    </row>
    <row r="119" spans="1:11">
      <c r="A119" s="39">
        <v>7</v>
      </c>
      <c r="B119" s="39">
        <v>714010</v>
      </c>
      <c r="C119" s="39" t="s">
        <v>21</v>
      </c>
      <c r="D119" s="39"/>
      <c r="E119" s="39" t="s">
        <v>144</v>
      </c>
      <c r="F119" s="39">
        <v>13</v>
      </c>
      <c r="G119" s="39" t="s">
        <v>145</v>
      </c>
      <c r="H119" s="45" t="str">
        <f>J$18</f>
        <v>Lichtmast aluminium schaalbaar</v>
      </c>
      <c r="I119" s="46">
        <f>K$18*2*F119</f>
        <v>3634.0200000000004</v>
      </c>
      <c r="J119" s="39"/>
      <c r="K119" t="s">
        <v>89</v>
      </c>
    </row>
    <row r="120" spans="1:11">
      <c r="A120" s="39">
        <v>7</v>
      </c>
      <c r="B120" s="39">
        <v>714020</v>
      </c>
      <c r="C120" s="39" t="s">
        <v>21</v>
      </c>
      <c r="D120" s="39"/>
      <c r="E120" s="39" t="s">
        <v>146</v>
      </c>
      <c r="F120" s="39">
        <v>4</v>
      </c>
      <c r="G120" s="39" t="s">
        <v>145</v>
      </c>
      <c r="H120" s="45" t="str">
        <f>J$18</f>
        <v>Lichtmast aluminium schaalbaar</v>
      </c>
      <c r="I120" s="46">
        <f>F120*K$18*2.5</f>
        <v>1397.7</v>
      </c>
      <c r="J120" s="39"/>
      <c r="K120" t="s">
        <v>89</v>
      </c>
    </row>
  </sheetData>
  <autoFilter ref="A25:J120">
    <sortState ref="A26:J120">
      <sortCondition ref="B25:B120"/>
    </sortState>
  </autoFilter>
  <mergeCells count="5">
    <mergeCell ref="F22:H22"/>
    <mergeCell ref="F15:G15"/>
    <mergeCell ref="F19:H19"/>
    <mergeCell ref="F20:H20"/>
    <mergeCell ref="F21:H21"/>
  </mergeCells>
  <phoneticPr fontId="19" type="noConversion"/>
  <pageMargins left="0.7" right="0.7" top="0.75" bottom="0.75" header="0.3" footer="0.3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workbookViewId="0">
      <selection activeCell="D4" sqref="D4"/>
    </sheetView>
  </sheetViews>
  <sheetFormatPr defaultRowHeight="15"/>
  <cols>
    <col min="2" max="2" width="10.5703125" customWidth="1"/>
    <col min="3" max="3" width="10" customWidth="1"/>
    <col min="4" max="4" width="7.7109375" customWidth="1"/>
    <col min="6" max="6" width="17.28515625" customWidth="1"/>
  </cols>
  <sheetData>
    <row r="1" spans="1:7">
      <c r="B1" t="s">
        <v>147</v>
      </c>
    </row>
    <row r="2" spans="1:7">
      <c r="B2" s="67" t="s">
        <v>148</v>
      </c>
      <c r="C2" s="67"/>
      <c r="D2" s="67"/>
      <c r="E2" s="67"/>
    </row>
    <row r="3" spans="1:7">
      <c r="A3" t="s">
        <v>149</v>
      </c>
      <c r="B3">
        <v>300</v>
      </c>
      <c r="C3">
        <v>250</v>
      </c>
      <c r="D3">
        <v>200</v>
      </c>
      <c r="E3">
        <v>150</v>
      </c>
      <c r="F3">
        <v>230</v>
      </c>
      <c r="G3">
        <v>180</v>
      </c>
    </row>
    <row r="4" spans="1:7">
      <c r="A4" t="s">
        <v>150</v>
      </c>
      <c r="B4">
        <v>10.01</v>
      </c>
      <c r="C4">
        <v>8.92</v>
      </c>
      <c r="D4">
        <v>7.84</v>
      </c>
      <c r="E4">
        <f>D4*3/4</f>
        <v>5.88</v>
      </c>
      <c r="F4">
        <f>C4*F3/C3</f>
        <v>8.2064000000000004</v>
      </c>
      <c r="G4">
        <f>(G3*D4)/D3</f>
        <v>7.056</v>
      </c>
    </row>
    <row r="6" spans="1:7">
      <c r="D6">
        <f>150*D4/D3</f>
        <v>5.88</v>
      </c>
    </row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80775DEF7D7140A02B423539E3ECED" ma:contentTypeVersion="11" ma:contentTypeDescription="Create a new document." ma:contentTypeScope="" ma:versionID="2bde99bb48dc6c1c6864248ee24361c1">
  <xsd:schema xmlns:xsd="http://www.w3.org/2001/XMLSchema" xmlns:xs="http://www.w3.org/2001/XMLSchema" xmlns:p="http://schemas.microsoft.com/office/2006/metadata/properties" xmlns:ns3="1e4ffc76-9941-4883-8a5e-1412f58192c0" xmlns:ns4="5585348c-b708-42c4-8352-3f704e058221" targetNamespace="http://schemas.microsoft.com/office/2006/metadata/properties" ma:root="true" ma:fieldsID="58be67b659e03beaa853223ed27b0c42" ns3:_="" ns4:_="">
    <xsd:import namespace="1e4ffc76-9941-4883-8a5e-1412f58192c0"/>
    <xsd:import namespace="5585348c-b708-42c4-8352-3f704e05822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4ffc76-9941-4883-8a5e-1412f58192c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5348c-b708-42c4-8352-3f704e058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108B84-01C6-4069-9BE9-74EAB19DD8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EFBA84-7D6A-4E9A-A6D9-999731B8B3D2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e4ffc76-9941-4883-8a5e-1412f58192c0"/>
    <ds:schemaRef ds:uri="http://purl.org/dc/elements/1.1/"/>
    <ds:schemaRef ds:uri="http://schemas.microsoft.com/office/2006/metadata/properties"/>
    <ds:schemaRef ds:uri="5585348c-b708-42c4-8352-3f704e05822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03FF1C1-B397-4D18-BF8F-416D06914C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4ffc76-9941-4883-8a5e-1412f58192c0"/>
    <ds:schemaRef ds:uri="5585348c-b708-42c4-8352-3f704e0582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Joanne van 't Zelfde</dc:creator>
  <cp:keywords/>
  <dc:description/>
  <cp:lastModifiedBy>Ward Gijsberts</cp:lastModifiedBy>
  <cp:revision/>
  <dcterms:created xsi:type="dcterms:W3CDTF">2021-07-30T07:16:21Z</dcterms:created>
  <dcterms:modified xsi:type="dcterms:W3CDTF">2021-10-08T06:15:01Z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0x010100AA80775DEF7D7140A02B423539E3ECED</vt:lpwstr>
  </property>
</Properties>
</file>