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belnl.sharepoint.com/Internal/RSF/Shared Documents/Projecten/14728 - Tariefonderzoek MZ HR/6. Beslisdocument/6. Def bestanden eind mrt/"/>
    </mc:Choice>
  </mc:AlternateContent>
  <xr:revisionPtr revIDLastSave="198" documentId="8_{8C8F1C69-F66C-4440-A1D4-9E880D4E6835}" xr6:coauthVersionLast="47" xr6:coauthVersionMax="47" xr10:uidLastSave="{E4CB881B-1138-4157-B389-0B2F4C2C43FC}"/>
  <bookViews>
    <workbookView xWindow="28680" yWindow="-120" windowWidth="29040" windowHeight="15840" xr2:uid="{00000000-000D-0000-FFFF-FFFF00000000}"/>
  </bookViews>
  <sheets>
    <sheet name="Was-wordt analyse" sheetId="2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21" l="1"/>
  <c r="AL112" i="21"/>
  <c r="AK112" i="21"/>
  <c r="AL105" i="21"/>
  <c r="AK105" i="21"/>
  <c r="AL98" i="21"/>
  <c r="AK98" i="21"/>
  <c r="AL91" i="21"/>
  <c r="AK91" i="21"/>
  <c r="AL84" i="21"/>
  <c r="AK84" i="21"/>
  <c r="AL77" i="21"/>
  <c r="AK77" i="21"/>
  <c r="AL70" i="21"/>
  <c r="AK70" i="21"/>
  <c r="AL63" i="21"/>
  <c r="AK63" i="21"/>
  <c r="AL56" i="21"/>
  <c r="AK56" i="21"/>
  <c r="AL49" i="21"/>
  <c r="AK49" i="21"/>
  <c r="AL42" i="21"/>
  <c r="AK42" i="21"/>
  <c r="AL35" i="21"/>
  <c r="AK35" i="21"/>
  <c r="AL28" i="21"/>
  <c r="AK28" i="21"/>
  <c r="AL21" i="21"/>
  <c r="AK21" i="21"/>
  <c r="B117" i="21" l="1"/>
  <c r="V96" i="21"/>
  <c r="V89" i="21"/>
  <c r="AQ8" i="21" l="1"/>
  <c r="K104" i="21" l="1"/>
  <c r="K103" i="21"/>
  <c r="K102" i="21"/>
  <c r="K101" i="21"/>
  <c r="K100" i="21"/>
  <c r="K99" i="21"/>
  <c r="K82" i="21"/>
  <c r="K81" i="21"/>
  <c r="K80" i="21"/>
  <c r="K79" i="21"/>
  <c r="K78" i="21"/>
  <c r="Q116" i="21" l="1"/>
  <c r="Q114" i="21"/>
  <c r="Q113" i="21"/>
  <c r="Q109" i="21"/>
  <c r="Q107" i="21"/>
  <c r="Q106" i="21"/>
  <c r="Q96" i="21"/>
  <c r="Q95" i="21"/>
  <c r="Q94" i="21"/>
  <c r="Q93" i="21"/>
  <c r="Q92" i="21"/>
  <c r="Q89" i="21"/>
  <c r="Q88" i="21"/>
  <c r="Q87" i="21"/>
  <c r="Q86" i="21"/>
  <c r="Q85" i="21"/>
  <c r="AF110" i="21" l="1"/>
  <c r="AF108" i="21"/>
  <c r="AF117" i="21"/>
  <c r="AF115" i="21"/>
  <c r="K85" i="21"/>
  <c r="K86" i="21"/>
  <c r="K87" i="21"/>
  <c r="K88" i="21"/>
  <c r="K89" i="21"/>
  <c r="K116" i="21"/>
  <c r="K114" i="21"/>
  <c r="K113" i="21"/>
  <c r="K109" i="21"/>
  <c r="K107" i="21"/>
  <c r="K106" i="21"/>
  <c r="V117" i="21"/>
  <c r="AC117" i="21" s="1"/>
  <c r="V116" i="21"/>
  <c r="V114" i="21"/>
  <c r="V113" i="21"/>
  <c r="V110" i="21"/>
  <c r="V109" i="21"/>
  <c r="V107" i="21"/>
  <c r="V106" i="21"/>
  <c r="V95" i="21"/>
  <c r="V93" i="21"/>
  <c r="V92" i="21"/>
  <c r="V115" i="21"/>
  <c r="V94" i="21" l="1"/>
  <c r="V108" i="21"/>
  <c r="AB84" i="21"/>
  <c r="V86" i="21"/>
  <c r="V87" i="21"/>
  <c r="V85" i="21" l="1"/>
  <c r="K96" i="21" l="1"/>
  <c r="K95" i="21"/>
  <c r="K94" i="21"/>
  <c r="K93" i="21"/>
  <c r="K92" i="21"/>
  <c r="AB112" i="21"/>
  <c r="AB105" i="21"/>
  <c r="AC103" i="21"/>
  <c r="AC102" i="21"/>
  <c r="AC101" i="21"/>
  <c r="AC100" i="21"/>
  <c r="AC99" i="21"/>
  <c r="AB98" i="21"/>
  <c r="AB91" i="21"/>
  <c r="AF49" i="21"/>
  <c r="AF42" i="21"/>
  <c r="AF35" i="21"/>
  <c r="AF28" i="21"/>
  <c r="AF21" i="21"/>
  <c r="AG117" i="21"/>
  <c r="AE117" i="21"/>
  <c r="AG115" i="21"/>
  <c r="AG110" i="21"/>
  <c r="AG108" i="21"/>
  <c r="AG103" i="21"/>
  <c r="J103" i="21"/>
  <c r="AE103" i="21" s="1"/>
  <c r="AG101" i="21"/>
  <c r="J101" i="21"/>
  <c r="AE101" i="21" s="1"/>
  <c r="AE42" i="21"/>
  <c r="AB42" i="21"/>
  <c r="G40" i="21"/>
  <c r="V88" i="21"/>
  <c r="G37" i="21"/>
  <c r="G32" i="21"/>
  <c r="G30" i="21"/>
  <c r="G26" i="21"/>
  <c r="N102" i="21"/>
  <c r="G25" i="21"/>
  <c r="G24" i="21"/>
  <c r="G23" i="21"/>
  <c r="N99" i="21"/>
  <c r="AB22" i="21"/>
  <c r="AH22" i="21" s="1"/>
  <c r="G21" i="21" l="1"/>
  <c r="N79" i="21"/>
  <c r="N100" i="21"/>
  <c r="N80" i="21"/>
  <c r="N101" i="21"/>
  <c r="M101" i="21" s="1"/>
  <c r="AF101" i="21" s="1"/>
  <c r="N82" i="21"/>
  <c r="N103" i="21"/>
  <c r="M103" i="21" s="1"/>
  <c r="AF103" i="21" s="1"/>
  <c r="I110" i="21"/>
  <c r="G110" i="21"/>
  <c r="AC110" i="21" s="1"/>
  <c r="AE110" i="21"/>
  <c r="L110" i="21"/>
  <c r="J108" i="21"/>
  <c r="AD108" i="21" s="1"/>
  <c r="I108" i="21"/>
  <c r="G108" i="21"/>
  <c r="AC108" i="21" s="1"/>
  <c r="J115" i="21"/>
  <c r="G115" i="21"/>
  <c r="AC115" i="21" s="1"/>
  <c r="I115" i="21"/>
  <c r="AB32" i="21"/>
  <c r="AH32" i="21" s="1"/>
  <c r="AD110" i="21"/>
  <c r="AC98" i="21"/>
  <c r="AD117" i="21"/>
  <c r="AH117" i="21" s="1"/>
  <c r="AD101" i="21"/>
  <c r="AD103" i="21"/>
  <c r="AB23" i="21"/>
  <c r="AH23" i="21" s="1"/>
  <c r="AB33" i="21"/>
  <c r="AH33" i="21" s="1"/>
  <c r="AC40" i="21"/>
  <c r="AH40" i="21" s="1"/>
  <c r="AB24" i="21"/>
  <c r="AH24" i="21" s="1"/>
  <c r="N81" i="21"/>
  <c r="AB25" i="21"/>
  <c r="AH25" i="21" s="1"/>
  <c r="AC43" i="21"/>
  <c r="AH43" i="21" s="1"/>
  <c r="AB26" i="21"/>
  <c r="AH26" i="21" s="1"/>
  <c r="AC44" i="21"/>
  <c r="AH44" i="21" s="1"/>
  <c r="AB29" i="21"/>
  <c r="AH29" i="21" s="1"/>
  <c r="AC36" i="21"/>
  <c r="AH36" i="21" s="1"/>
  <c r="AC45" i="21"/>
  <c r="AH45" i="21" s="1"/>
  <c r="AC39" i="21"/>
  <c r="AH39" i="21" s="1"/>
  <c r="AB30" i="21"/>
  <c r="AH30" i="21" s="1"/>
  <c r="AC37" i="21"/>
  <c r="AH37" i="21" s="1"/>
  <c r="AC46" i="21"/>
  <c r="AH46" i="21" s="1"/>
  <c r="AB31" i="21"/>
  <c r="AH31" i="21" s="1"/>
  <c r="AC38" i="21"/>
  <c r="AH38" i="21" s="1"/>
  <c r="AC47" i="21"/>
  <c r="AH47" i="21" s="1"/>
  <c r="N78" i="21"/>
  <c r="AG28" i="21"/>
  <c r="AB35" i="21"/>
  <c r="G44" i="21"/>
  <c r="AD42" i="21"/>
  <c r="AC49" i="21"/>
  <c r="G45" i="21"/>
  <c r="AE49" i="21"/>
  <c r="G46" i="21"/>
  <c r="G28" i="21"/>
  <c r="G36" i="21"/>
  <c r="AE70" i="21"/>
  <c r="AE56" i="21"/>
  <c r="G29" i="21"/>
  <c r="G38" i="21"/>
  <c r="G47" i="21"/>
  <c r="G35" i="21"/>
  <c r="AB63" i="21"/>
  <c r="G39" i="21"/>
  <c r="AG49" i="21"/>
  <c r="G31" i="21"/>
  <c r="G42" i="21"/>
  <c r="G33" i="21"/>
  <c r="G43" i="21"/>
  <c r="AG35" i="21"/>
  <c r="AE63" i="21"/>
  <c r="AC21" i="21"/>
  <c r="AB70" i="21"/>
  <c r="AE35" i="21"/>
  <c r="AE21" i="21"/>
  <c r="AG63" i="21"/>
  <c r="AG21" i="21"/>
  <c r="AE28" i="21"/>
  <c r="AD35" i="21"/>
  <c r="AG42" i="21"/>
  <c r="AC56" i="21"/>
  <c r="AC77" i="21"/>
  <c r="G22" i="21"/>
  <c r="AG70" i="21"/>
  <c r="AG56" i="21"/>
  <c r="AD21" i="21"/>
  <c r="AC28" i="21"/>
  <c r="AD28" i="21"/>
  <c r="AB77" i="21"/>
  <c r="J82" i="21"/>
  <c r="B110" i="21" l="1"/>
  <c r="AH110" i="21"/>
  <c r="L115" i="21"/>
  <c r="B115" i="21" s="1"/>
  <c r="AE115" i="21"/>
  <c r="L108" i="21"/>
  <c r="B108" i="21" s="1"/>
  <c r="AE108" i="21"/>
  <c r="AH108" i="21" s="1"/>
  <c r="AD115" i="21"/>
  <c r="J80" i="21"/>
  <c r="AC42" i="21"/>
  <c r="AH101" i="21"/>
  <c r="AH103" i="21"/>
  <c r="AD49" i="21"/>
  <c r="AC35" i="21"/>
  <c r="AH35" i="21" s="1"/>
  <c r="AB28" i="21"/>
  <c r="AM28" i="21" s="1"/>
  <c r="AD56" i="21"/>
  <c r="AB21" i="21"/>
  <c r="AD70" i="21"/>
  <c r="AD63" i="21"/>
  <c r="AM35" i="21" l="1"/>
  <c r="AH42" i="21"/>
  <c r="AM42" i="21"/>
  <c r="AH21" i="21"/>
  <c r="AM21" i="21"/>
  <c r="AN21" i="21" s="1"/>
  <c r="G49" i="21"/>
  <c r="AH115" i="21"/>
  <c r="AH28" i="21"/>
  <c r="AN28" i="21" s="1"/>
  <c r="G89" i="21"/>
  <c r="AC89" i="21" s="1"/>
  <c r="I89" i="21"/>
  <c r="J89" i="21"/>
  <c r="AI42" i="21"/>
  <c r="AJ42" i="21" s="1"/>
  <c r="AI35" i="21"/>
  <c r="AJ35" i="21" s="1"/>
  <c r="M82" i="21"/>
  <c r="AF82" i="21" s="1"/>
  <c r="AO42" i="21" l="1"/>
  <c r="AN42" i="21"/>
  <c r="AO35" i="21"/>
  <c r="AN35" i="21"/>
  <c r="AI21" i="21"/>
  <c r="AJ21" i="21" s="1"/>
  <c r="AO21" i="21"/>
  <c r="AI28" i="21"/>
  <c r="AJ28" i="21" s="1"/>
  <c r="AO28" i="21"/>
  <c r="AG106" i="21"/>
  <c r="G87" i="21"/>
  <c r="AC87" i="21" s="1"/>
  <c r="J96" i="21"/>
  <c r="L96" i="21" s="1"/>
  <c r="R96" i="21"/>
  <c r="I94" i="21"/>
  <c r="AG94" i="21"/>
  <c r="J94" i="21"/>
  <c r="L94" i="21" s="1"/>
  <c r="I109" i="21"/>
  <c r="G109" i="21"/>
  <c r="AC109" i="21" s="1"/>
  <c r="J109" i="21"/>
  <c r="L109" i="21" s="1"/>
  <c r="AG109" i="21"/>
  <c r="G94" i="21"/>
  <c r="G106" i="21"/>
  <c r="AC106" i="21" s="1"/>
  <c r="I106" i="21"/>
  <c r="J106" i="21"/>
  <c r="J114" i="21"/>
  <c r="L114" i="21" s="1"/>
  <c r="G114" i="21"/>
  <c r="AC114" i="21" s="1"/>
  <c r="I114" i="21"/>
  <c r="J116" i="21"/>
  <c r="L116" i="21" s="1"/>
  <c r="G116" i="21"/>
  <c r="AC116" i="21" s="1"/>
  <c r="I116" i="21"/>
  <c r="J87" i="21"/>
  <c r="AD87" i="21" s="1"/>
  <c r="J107" i="21"/>
  <c r="L107" i="21" s="1"/>
  <c r="I107" i="21"/>
  <c r="G107" i="21"/>
  <c r="AC107" i="21" s="1"/>
  <c r="G113" i="21"/>
  <c r="AC113" i="21" s="1"/>
  <c r="I113" i="21"/>
  <c r="J113" i="21"/>
  <c r="L113" i="21" s="1"/>
  <c r="AG107" i="21"/>
  <c r="I87" i="21"/>
  <c r="I96" i="21"/>
  <c r="G96" i="21"/>
  <c r="B8" i="21"/>
  <c r="AG100" i="21"/>
  <c r="AC75" i="21"/>
  <c r="AH75" i="21" s="1"/>
  <c r="G75" i="21"/>
  <c r="G86" i="21"/>
  <c r="AC86" i="21" s="1"/>
  <c r="I86" i="21"/>
  <c r="J86" i="21"/>
  <c r="G88" i="21"/>
  <c r="AC88" i="21" s="1"/>
  <c r="J88" i="21"/>
  <c r="I88" i="21"/>
  <c r="J99" i="21"/>
  <c r="AG102" i="21"/>
  <c r="AG82" i="21"/>
  <c r="B9" i="21"/>
  <c r="J102" i="21"/>
  <c r="AE102" i="21" s="1"/>
  <c r="L89" i="21"/>
  <c r="AE89" i="21"/>
  <c r="AD89" i="21"/>
  <c r="J100" i="21"/>
  <c r="AE100" i="21" s="1"/>
  <c r="B7" i="21"/>
  <c r="AG99" i="21"/>
  <c r="M80" i="21"/>
  <c r="AF80" i="21" s="1"/>
  <c r="G85" i="21"/>
  <c r="AC85" i="21" s="1"/>
  <c r="I85" i="21"/>
  <c r="J85" i="21"/>
  <c r="AG105" i="21" l="1"/>
  <c r="AD109" i="21"/>
  <c r="AE109" i="21"/>
  <c r="B10" i="21"/>
  <c r="B11" i="21"/>
  <c r="R94" i="21"/>
  <c r="AD102" i="21"/>
  <c r="AC84" i="21"/>
  <c r="AD96" i="21"/>
  <c r="AE96" i="21"/>
  <c r="AD100" i="21"/>
  <c r="AE94" i="21"/>
  <c r="M102" i="21"/>
  <c r="AF102" i="21" s="1"/>
  <c r="M99" i="21"/>
  <c r="AF99" i="21" s="1"/>
  <c r="M100" i="21"/>
  <c r="AF100" i="21" s="1"/>
  <c r="AC96" i="21"/>
  <c r="AC94" i="21"/>
  <c r="AD94" i="21"/>
  <c r="AG114" i="21"/>
  <c r="AG116" i="21"/>
  <c r="R107" i="21"/>
  <c r="AD107" i="21"/>
  <c r="AE107" i="21"/>
  <c r="AE87" i="21"/>
  <c r="R109" i="21"/>
  <c r="AG96" i="21"/>
  <c r="N85" i="21"/>
  <c r="N92" i="21"/>
  <c r="N86" i="21"/>
  <c r="N113" i="21"/>
  <c r="N106" i="21"/>
  <c r="N93" i="21"/>
  <c r="N87" i="21"/>
  <c r="N114" i="21"/>
  <c r="N94" i="21"/>
  <c r="N107" i="21"/>
  <c r="N109" i="21"/>
  <c r="N96" i="21"/>
  <c r="M96" i="21" s="1"/>
  <c r="AF96" i="21" s="1"/>
  <c r="N95" i="21"/>
  <c r="N116" i="21"/>
  <c r="L87" i="21"/>
  <c r="R106" i="21"/>
  <c r="L106" i="21"/>
  <c r="AD106" i="21"/>
  <c r="AE106" i="21"/>
  <c r="G58" i="21"/>
  <c r="AB58" i="21"/>
  <c r="AH58" i="21" s="1"/>
  <c r="L86" i="21"/>
  <c r="AE86" i="21"/>
  <c r="AD86" i="21"/>
  <c r="AC73" i="21"/>
  <c r="AH73" i="21" s="1"/>
  <c r="G73" i="21"/>
  <c r="AG87" i="21"/>
  <c r="R87" i="21"/>
  <c r="R88" i="21"/>
  <c r="AG88" i="21"/>
  <c r="AD113" i="21"/>
  <c r="AE113" i="21"/>
  <c r="AE99" i="21"/>
  <c r="AE98" i="21" s="1"/>
  <c r="AD99" i="21"/>
  <c r="AB57" i="21"/>
  <c r="AH57" i="21" s="1"/>
  <c r="G57" i="21"/>
  <c r="R85" i="21"/>
  <c r="AG85" i="21"/>
  <c r="G50" i="21"/>
  <c r="AB50" i="21"/>
  <c r="AH50" i="21" s="1"/>
  <c r="AG98" i="21"/>
  <c r="AC71" i="21"/>
  <c r="AH71" i="21" s="1"/>
  <c r="G71" i="21"/>
  <c r="J81" i="21"/>
  <c r="G68" i="21"/>
  <c r="AC68" i="21"/>
  <c r="AH68" i="21" s="1"/>
  <c r="AG86" i="21"/>
  <c r="R86" i="21"/>
  <c r="AB53" i="21"/>
  <c r="AH53" i="21" s="1"/>
  <c r="G53" i="21"/>
  <c r="AB51" i="21"/>
  <c r="AH51" i="21" s="1"/>
  <c r="G51" i="21"/>
  <c r="J79" i="21"/>
  <c r="AG79" i="21"/>
  <c r="G70" i="21"/>
  <c r="AG80" i="21"/>
  <c r="AB60" i="21"/>
  <c r="AH60" i="21" s="1"/>
  <c r="G60" i="21"/>
  <c r="G66" i="21"/>
  <c r="AC66" i="21"/>
  <c r="AH66" i="21" s="1"/>
  <c r="AC72" i="21"/>
  <c r="AH72" i="21" s="1"/>
  <c r="G72" i="21"/>
  <c r="AE116" i="21"/>
  <c r="AD116" i="21"/>
  <c r="J78" i="21"/>
  <c r="AG81" i="21"/>
  <c r="AB54" i="21"/>
  <c r="AH54" i="21" s="1"/>
  <c r="G54" i="21"/>
  <c r="G63" i="21"/>
  <c r="AG89" i="21"/>
  <c r="R89" i="21"/>
  <c r="G59" i="21"/>
  <c r="AB59" i="21"/>
  <c r="AH59" i="21" s="1"/>
  <c r="AC64" i="21"/>
  <c r="AH64" i="21" s="1"/>
  <c r="G64" i="21"/>
  <c r="N89" i="21"/>
  <c r="N88" i="21"/>
  <c r="AE114" i="21"/>
  <c r="AD114" i="21"/>
  <c r="AD85" i="21"/>
  <c r="L85" i="21"/>
  <c r="AE85" i="21"/>
  <c r="AG78" i="21"/>
  <c r="G74" i="21"/>
  <c r="AC74" i="21"/>
  <c r="AH74" i="21" s="1"/>
  <c r="G61" i="21"/>
  <c r="AB61" i="21"/>
  <c r="AH61" i="21" s="1"/>
  <c r="L88" i="21"/>
  <c r="AE88" i="21"/>
  <c r="AD88" i="21"/>
  <c r="AG84" i="21" l="1"/>
  <c r="B12" i="21"/>
  <c r="AH102" i="21"/>
  <c r="M94" i="21"/>
  <c r="AF94" i="21" s="1"/>
  <c r="AH94" i="21" s="1"/>
  <c r="G56" i="21"/>
  <c r="AH100" i="21"/>
  <c r="AE105" i="21"/>
  <c r="AD105" i="21"/>
  <c r="AF98" i="21"/>
  <c r="R114" i="21"/>
  <c r="M114" i="21" s="1"/>
  <c r="AF114" i="21" s="1"/>
  <c r="AC112" i="21"/>
  <c r="M107" i="21"/>
  <c r="AG113" i="21"/>
  <c r="AG112" i="21" s="1"/>
  <c r="R116" i="21"/>
  <c r="M116" i="21" s="1"/>
  <c r="AF116" i="21" s="1"/>
  <c r="M106" i="21"/>
  <c r="M109" i="21"/>
  <c r="AH96" i="21"/>
  <c r="O96" i="21"/>
  <c r="B96" i="21" s="1"/>
  <c r="AC105" i="21"/>
  <c r="M87" i="21"/>
  <c r="AD84" i="21"/>
  <c r="AG77" i="21"/>
  <c r="I93" i="21"/>
  <c r="G93" i="21"/>
  <c r="AC93" i="21" s="1"/>
  <c r="J93" i="21"/>
  <c r="AB56" i="21"/>
  <c r="AM56" i="21" s="1"/>
  <c r="G52" i="21"/>
  <c r="AB52" i="21"/>
  <c r="AH52" i="21" s="1"/>
  <c r="M81" i="21"/>
  <c r="AF81" i="21" s="1"/>
  <c r="AE112" i="21"/>
  <c r="J95" i="21"/>
  <c r="I95" i="21"/>
  <c r="G95" i="21"/>
  <c r="AC95" i="21" s="1"/>
  <c r="AC70" i="21"/>
  <c r="AM70" i="21" s="1"/>
  <c r="AD112" i="21"/>
  <c r="M85" i="21"/>
  <c r="AF85" i="21" s="1"/>
  <c r="M86" i="21"/>
  <c r="AF86" i="21" s="1"/>
  <c r="J92" i="21"/>
  <c r="G92" i="21"/>
  <c r="AC92" i="21" s="1"/>
  <c r="I92" i="21"/>
  <c r="AD98" i="21"/>
  <c r="AH99" i="21"/>
  <c r="G67" i="21"/>
  <c r="AC67" i="21"/>
  <c r="AH67" i="21" s="1"/>
  <c r="AE84" i="21"/>
  <c r="G65" i="21"/>
  <c r="AC65" i="21"/>
  <c r="AH65" i="21" s="1"/>
  <c r="M88" i="21"/>
  <c r="AF88" i="21" s="1"/>
  <c r="M89" i="21"/>
  <c r="AF89" i="21" s="1"/>
  <c r="AE78" i="21"/>
  <c r="AD78" i="21"/>
  <c r="M79" i="21"/>
  <c r="AF79" i="21" s="1"/>
  <c r="M78" i="21"/>
  <c r="AF78" i="21" s="1"/>
  <c r="AM98" i="21" l="1"/>
  <c r="O94" i="21"/>
  <c r="B94" i="21" s="1"/>
  <c r="AH98" i="21"/>
  <c r="AH70" i="21"/>
  <c r="AI70" i="21" s="1"/>
  <c r="AJ70" i="21" s="1"/>
  <c r="O107" i="21"/>
  <c r="B107" i="21" s="1"/>
  <c r="AF107" i="21"/>
  <c r="AH107" i="21" s="1"/>
  <c r="AH56" i="21"/>
  <c r="AI56" i="21" s="1"/>
  <c r="AJ56" i="21" s="1"/>
  <c r="AF109" i="21"/>
  <c r="AH109" i="21" s="1"/>
  <c r="AF106" i="21"/>
  <c r="AH106" i="21" s="1"/>
  <c r="AF87" i="21"/>
  <c r="AH87" i="21" s="1"/>
  <c r="O106" i="21"/>
  <c r="B106" i="21" s="1"/>
  <c r="O114" i="21"/>
  <c r="B114" i="21" s="1"/>
  <c r="AH114" i="21"/>
  <c r="R113" i="21"/>
  <c r="M113" i="21" s="1"/>
  <c r="AF113" i="21" s="1"/>
  <c r="O116" i="21"/>
  <c r="B116" i="21" s="1"/>
  <c r="AH116" i="21"/>
  <c r="O109" i="21"/>
  <c r="B109" i="21" s="1"/>
  <c r="O87" i="21"/>
  <c r="B87" i="21" s="1"/>
  <c r="AF77" i="21"/>
  <c r="AB49" i="21"/>
  <c r="AM49" i="21" s="1"/>
  <c r="AC63" i="21"/>
  <c r="AM63" i="21" s="1"/>
  <c r="L95" i="21"/>
  <c r="AD95" i="21"/>
  <c r="AE95" i="21"/>
  <c r="O85" i="21"/>
  <c r="B85" i="21" s="1"/>
  <c r="AH78" i="21"/>
  <c r="O88" i="21"/>
  <c r="B88" i="21" s="1"/>
  <c r="AH88" i="21"/>
  <c r="L93" i="21"/>
  <c r="AE93" i="21"/>
  <c r="AD93" i="21"/>
  <c r="O89" i="21"/>
  <c r="B89" i="21" s="1"/>
  <c r="AH89" i="21"/>
  <c r="L92" i="21"/>
  <c r="AD92" i="21"/>
  <c r="AE92" i="21"/>
  <c r="AG95" i="21"/>
  <c r="R95" i="21"/>
  <c r="AG92" i="21"/>
  <c r="R92" i="21"/>
  <c r="R93" i="21"/>
  <c r="AG93" i="21"/>
  <c r="O86" i="21"/>
  <c r="B86" i="21" s="1"/>
  <c r="AH86" i="21"/>
  <c r="AN98" i="21" l="1"/>
  <c r="AN70" i="21"/>
  <c r="AN56" i="21"/>
  <c r="C15" i="21"/>
  <c r="AO98" i="21"/>
  <c r="AO70" i="21"/>
  <c r="AO56" i="21"/>
  <c r="AG91" i="21"/>
  <c r="AG5" i="21" s="1"/>
  <c r="AI98" i="21"/>
  <c r="AJ98" i="21" s="1"/>
  <c r="M95" i="21"/>
  <c r="AF95" i="21" s="1"/>
  <c r="AH49" i="21"/>
  <c r="AH63" i="21"/>
  <c r="AI63" i="21" s="1"/>
  <c r="AJ63" i="21" s="1"/>
  <c r="AH113" i="21"/>
  <c r="AF112" i="21"/>
  <c r="AM112" i="21" s="1"/>
  <c r="O113" i="21"/>
  <c r="B113" i="21" s="1"/>
  <c r="AF105" i="21"/>
  <c r="AM105" i="21" s="1"/>
  <c r="AD91" i="21"/>
  <c r="AB5" i="21"/>
  <c r="AE91" i="21"/>
  <c r="M93" i="21"/>
  <c r="AC91" i="21"/>
  <c r="AC5" i="21" s="1"/>
  <c r="AH85" i="21"/>
  <c r="AF84" i="21"/>
  <c r="AM84" i="21" s="1"/>
  <c r="M92" i="21"/>
  <c r="AF92" i="21" s="1"/>
  <c r="C17" i="21" l="1"/>
  <c r="AN105" i="21"/>
  <c r="AN63" i="21"/>
  <c r="C7" i="21"/>
  <c r="B15" i="21" s="1"/>
  <c r="D15" i="21" s="1"/>
  <c r="E15" i="21" s="1"/>
  <c r="AN49" i="21"/>
  <c r="AO49" i="21"/>
  <c r="AH105" i="21"/>
  <c r="AH112" i="21"/>
  <c r="AI112" i="21" s="1"/>
  <c r="AJ112" i="21" s="1"/>
  <c r="AO63" i="21"/>
  <c r="AI49" i="21"/>
  <c r="AJ49" i="21" s="1"/>
  <c r="O93" i="21"/>
  <c r="B93" i="21" s="1"/>
  <c r="AF93" i="21"/>
  <c r="AH93" i="21" s="1"/>
  <c r="AH84" i="21"/>
  <c r="AN84" i="21" s="1"/>
  <c r="AH95" i="21"/>
  <c r="O95" i="21"/>
  <c r="B95" i="21" s="1"/>
  <c r="O92" i="21"/>
  <c r="B92" i="21" s="1"/>
  <c r="AN112" i="21" l="1"/>
  <c r="C9" i="21"/>
  <c r="B17" i="21" s="1"/>
  <c r="D17" i="21" s="1"/>
  <c r="E17" i="21" s="1"/>
  <c r="AI105" i="21"/>
  <c r="AJ105" i="21" s="1"/>
  <c r="AO84" i="21"/>
  <c r="AO112" i="21"/>
  <c r="AO105" i="21"/>
  <c r="AI84" i="21"/>
  <c r="AJ84" i="21" s="1"/>
  <c r="AF91" i="21"/>
  <c r="AM91" i="21" s="1"/>
  <c r="AH92" i="21"/>
  <c r="AH91" i="21" l="1"/>
  <c r="AN91" i="21" s="1"/>
  <c r="AF5" i="21"/>
  <c r="AO91" i="21" l="1"/>
  <c r="AI91" i="21"/>
  <c r="AJ91" i="21" s="1"/>
  <c r="AD81" i="21" l="1"/>
  <c r="AD82" i="21"/>
  <c r="AD80" i="21"/>
  <c r="AE80" i="21"/>
  <c r="AE81" i="21"/>
  <c r="AE82" i="21"/>
  <c r="AH82" i="21" l="1"/>
  <c r="AH80" i="21"/>
  <c r="AH81" i="21"/>
  <c r="AE79" i="21"/>
  <c r="AE77" i="21" s="1"/>
  <c r="AE5" i="21" l="1"/>
  <c r="AD79" i="21"/>
  <c r="AD77" i="21" s="1"/>
  <c r="AM77" i="21" s="1"/>
  <c r="C16" i="21" l="1"/>
  <c r="C18" i="21"/>
  <c r="AM5" i="21"/>
  <c r="AD5" i="21"/>
  <c r="AH77" i="21"/>
  <c r="C8" i="21" s="1"/>
  <c r="AH79" i="21"/>
  <c r="AN77" i="21" l="1"/>
  <c r="AO77" i="21"/>
  <c r="D7" i="21"/>
  <c r="E7" i="21" s="1"/>
  <c r="C11" i="21"/>
  <c r="AH5" i="21"/>
  <c r="AI77" i="21"/>
  <c r="D11" i="21" s="1"/>
  <c r="D8" i="21" l="1"/>
  <c r="E8" i="21" s="1"/>
  <c r="B16" i="21"/>
  <c r="D16" i="21" s="1"/>
  <c r="E16" i="21" s="1"/>
  <c r="C10" i="21"/>
  <c r="D10" i="21" s="1"/>
  <c r="D9" i="21"/>
  <c r="E9" i="21" s="1"/>
  <c r="AJ77" i="21"/>
  <c r="B18" i="21" l="1"/>
  <c r="D18" i="21" s="1"/>
  <c r="E18" i="21" s="1"/>
  <c r="C12" i="21"/>
  <c r="E10" i="21"/>
  <c r="D12" i="21"/>
</calcChain>
</file>

<file path=xl/sharedStrings.xml><?xml version="1.0" encoding="utf-8"?>
<sst xmlns="http://schemas.openxmlformats.org/spreadsheetml/2006/main" count="282" uniqueCount="89">
  <si>
    <t>Totaal</t>
  </si>
  <si>
    <t>check aansluiting</t>
  </si>
  <si>
    <t>per uur</t>
  </si>
  <si>
    <t>per dag</t>
  </si>
  <si>
    <t>per dagdeel</t>
  </si>
  <si>
    <t>Tarief 2020</t>
  </si>
  <si>
    <t>BW</t>
  </si>
  <si>
    <t>GGZ</t>
  </si>
  <si>
    <t>GHZ</t>
  </si>
  <si>
    <t>SW</t>
  </si>
  <si>
    <t>JW</t>
  </si>
  <si>
    <t>VVT</t>
  </si>
  <si>
    <t>Product</t>
  </si>
  <si>
    <t>CAO</t>
  </si>
  <si>
    <t>Kosten 2020</t>
  </si>
  <si>
    <t>Volume 2020</t>
  </si>
  <si>
    <t>Begeleiding individueel basis</t>
  </si>
  <si>
    <t>Begeleiding individueel speciaal</t>
  </si>
  <si>
    <t>Begeleiding groep basis</t>
  </si>
  <si>
    <t>Begeleiding groep speciaal</t>
  </si>
  <si>
    <t>tijdseenheid</t>
  </si>
  <si>
    <t>Verblijf op en afroep - subregionaal</t>
  </si>
  <si>
    <t>Verblijf basis - subregionaal</t>
  </si>
  <si>
    <t>Verblijf zwaar - subregionaal</t>
  </si>
  <si>
    <t>Verblijf op en afroep - regionaal</t>
  </si>
  <si>
    <t>Verblijf basis - regionaal</t>
  </si>
  <si>
    <t>Verblijf zwaar - regionaal</t>
  </si>
  <si>
    <t>Ambulant</t>
  </si>
  <si>
    <t>Verblijf - zorgdeel</t>
  </si>
  <si>
    <t>Verblijf - woondeel</t>
  </si>
  <si>
    <t>Wmo</t>
  </si>
  <si>
    <t>BW / Wmo</t>
  </si>
  <si>
    <t>Uit tabbladen 'Volume BGI-BGG' &amp; 'Volume BW'</t>
  </si>
  <si>
    <t>woondeel</t>
  </si>
  <si>
    <t>BGI</t>
  </si>
  <si>
    <t>overdag</t>
  </si>
  <si>
    <t>'s nachts</t>
  </si>
  <si>
    <t>(vaste formatie op de groep)</t>
  </si>
  <si>
    <t>(individuele begeleiding)</t>
  </si>
  <si>
    <t>(huur kamer)</t>
  </si>
  <si>
    <t>BGG/DB</t>
  </si>
  <si>
    <t xml:space="preserve">Ambulant </t>
  </si>
  <si>
    <t xml:space="preserve">Verblijf - zorgdeel </t>
  </si>
  <si>
    <t>aan/uit</t>
  </si>
  <si>
    <t>Was (huidig)</t>
  </si>
  <si>
    <t>Diff (nieuw - oud)</t>
  </si>
  <si>
    <t>diff %</t>
  </si>
  <si>
    <t xml:space="preserve">sum </t>
  </si>
  <si>
    <t>Wmo - Subregionaal</t>
  </si>
  <si>
    <t xml:space="preserve">BW - Regionaal </t>
  </si>
  <si>
    <t xml:space="preserve">BW - Subregionaal </t>
  </si>
  <si>
    <t>avg uit data</t>
  </si>
  <si>
    <t>(2) Budget BW naar Vaste aanwezigheid</t>
  </si>
  <si>
    <t>(1) Budget BW naar Daginvulling</t>
  </si>
  <si>
    <t>(3) Budget BW naar Ind Beg binnen Wonen met ondersteuning</t>
  </si>
  <si>
    <t>(4) Budget BW naar Huur kamer en Materiële Cliëntgebonden kosten</t>
  </si>
  <si>
    <t>Daginvulling / Ind. Beg. (Ambulant)</t>
  </si>
  <si>
    <t xml:space="preserve">Verblijf </t>
  </si>
  <si>
    <t>Verblijf</t>
  </si>
  <si>
    <t>(ind. beg binnen Wonen met ondersteuning)</t>
  </si>
  <si>
    <t>(huur kamer en mat. cgb. kosten)</t>
  </si>
  <si>
    <t>Daginvulling</t>
  </si>
  <si>
    <r>
      <t xml:space="preserve">Nieuwe tarieven </t>
    </r>
    <r>
      <rPr>
        <b/>
        <sz val="5.5"/>
        <color theme="0"/>
        <rFont val="Calibri"/>
        <family val="2"/>
      </rPr>
      <t>(pp 2020)</t>
    </r>
  </si>
  <si>
    <t>Sociaal Beheer</t>
  </si>
  <si>
    <t>Module</t>
  </si>
  <si>
    <t>Veiligheid</t>
  </si>
  <si>
    <t>Ind beg binnen</t>
  </si>
  <si>
    <t>Wonen met Ondersteuning</t>
  </si>
  <si>
    <t xml:space="preserve">Huur kamer </t>
  </si>
  <si>
    <t>en mat. cgb. kosten</t>
  </si>
  <si>
    <t>Wordt (nieuwe productstructuur)</t>
  </si>
  <si>
    <t>Was (huidige productstructuur)</t>
  </si>
  <si>
    <t>Toename volume BGI en daginvulling door ruimere definitie indirecte cgb tijd</t>
  </si>
  <si>
    <t>Let op: aanpassen van onderstaande getallen verandert de uitkomsten</t>
  </si>
  <si>
    <r>
      <t xml:space="preserve">Totaal </t>
    </r>
    <r>
      <rPr>
        <sz val="9.35"/>
        <color theme="0"/>
        <rFont val="Calibri"/>
        <family val="2"/>
      </rPr>
      <t>(excl indexatie)</t>
    </r>
  </si>
  <si>
    <r>
      <t xml:space="preserve">Totaal </t>
    </r>
    <r>
      <rPr>
        <sz val="9.35"/>
        <color theme="0"/>
        <rFont val="Calibri"/>
        <family val="2"/>
      </rPr>
      <t>(incl indexatie)</t>
    </r>
  </si>
  <si>
    <t>indexatie ind beg</t>
  </si>
  <si>
    <t>indexatie overig</t>
  </si>
  <si>
    <t>Wordt (toekomstig) - pp 2020</t>
  </si>
  <si>
    <t>Wordt (toekomstig) - pp 2022</t>
  </si>
  <si>
    <t>diff tov huidige productie</t>
  </si>
  <si>
    <t>%</t>
  </si>
  <si>
    <t>€</t>
  </si>
  <si>
    <t>diff tov pp 2020</t>
  </si>
  <si>
    <t>Indexatie tarieven naar pp 2022</t>
  </si>
  <si>
    <t>pp 2020</t>
  </si>
  <si>
    <t>pp 2022</t>
  </si>
  <si>
    <t>gew index 2021</t>
  </si>
  <si>
    <t>gew index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</si>
</sst>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_);\(#,##0\);&quot;-  &quot;;&quot; &quot;@&quot; &quot;"/>
    <numFmt numFmtId="165" formatCode="0.00_)%_);\(0.00\)%_);&quot;-  &quot;;&quot; &quot;@&quot; &quot;"/>
    <numFmt numFmtId="166" formatCode="#,##0.0000_);\(#,##0.0000\);&quot;-  &quot;;&quot; &quot;@&quot; &quot;"/>
    <numFmt numFmtId="167" formatCode="dd\ mmm\ yyyy_);\(###0\);&quot;-  &quot;;&quot; &quot;@&quot; &quot;"/>
    <numFmt numFmtId="168" formatCode="dd\ mmm\ yy_);\(###0\);&quot;-  &quot;;&quot; &quot;@&quot; &quot;"/>
    <numFmt numFmtId="169" formatCode="###0_);\(###0\);&quot;-  &quot;;&quot; &quot;@&quot; &quot;"/>
    <numFmt numFmtId="170" formatCode="#,##0.00_);\(#,##0.00\);&quot;-  &quot;;&quot; &quot;@&quot; &quot;"/>
    <numFmt numFmtId="171" formatCode="0.0_)%_);\(0.0\)%_);&quot;-  &quot;;&quot; &quot;@&quot; &quot;"/>
  </numFmts>
  <fonts count="2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0"/>
      <color theme="1"/>
      <name val="Cambria"/>
      <family val="2"/>
      <scheme val="maj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0"/>
      <name val="Ebrima"/>
    </font>
    <font>
      <b/>
      <sz val="10"/>
      <name val="Ebrima"/>
    </font>
    <font>
      <sz val="10"/>
      <color rgb="FFFF0000"/>
      <name val="Ebrima"/>
    </font>
    <font>
      <sz val="10"/>
      <color rgb="FF000000"/>
      <name val="Ebrima"/>
    </font>
    <font>
      <b/>
      <sz val="10"/>
      <color rgb="FF000000"/>
      <name val="Calibri"/>
      <family val="2"/>
      <scheme val="minor"/>
    </font>
    <font>
      <b/>
      <u/>
      <sz val="10"/>
      <name val="Ebrima"/>
    </font>
    <font>
      <i/>
      <sz val="11"/>
      <color rgb="FF000000"/>
      <name val="Calibri"/>
      <family val="2"/>
      <scheme val="minor"/>
    </font>
    <font>
      <i/>
      <sz val="10"/>
      <name val="Ebrima"/>
    </font>
    <font>
      <i/>
      <sz val="11"/>
      <color theme="1"/>
      <name val="Calibri"/>
      <family val="2"/>
      <scheme val="minor"/>
    </font>
    <font>
      <b/>
      <sz val="5.5"/>
      <color theme="0"/>
      <name val="Calibri"/>
      <family val="2"/>
    </font>
    <font>
      <b/>
      <sz val="12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.35"/>
      <color theme="0"/>
      <name val="Calibri"/>
      <family val="2"/>
    </font>
    <font>
      <i/>
      <sz val="10"/>
      <color theme="1"/>
      <name val="Ebrima"/>
    </font>
  </fonts>
  <fills count="1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Up"/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lightUp">
        <bgColor theme="4" tint="0.79998168889431442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80808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164" fontId="0" fillId="0" borderId="0" applyFont="0" applyFill="0" applyBorder="0" applyProtection="0">
      <alignment vertical="top"/>
    </xf>
    <xf numFmtId="165" fontId="3" fillId="0" borderId="0" applyFont="0" applyFill="0" applyBorder="0" applyProtection="0">
      <alignment vertical="top"/>
    </xf>
    <xf numFmtId="166" fontId="3" fillId="0" borderId="0" applyFont="0" applyFill="0" applyBorder="0" applyProtection="0">
      <alignment vertical="top"/>
    </xf>
    <xf numFmtId="167" fontId="3" fillId="0" borderId="0" applyFont="0" applyFill="0" applyBorder="0" applyProtection="0">
      <alignment vertical="top"/>
    </xf>
    <xf numFmtId="168" fontId="3" fillId="0" borderId="0" applyFont="0" applyFill="0" applyBorder="0" applyProtection="0">
      <alignment vertical="top"/>
    </xf>
    <xf numFmtId="169" fontId="3" fillId="0" borderId="0" applyFont="0" applyFill="0" applyBorder="0" applyProtection="0">
      <alignment vertical="top"/>
    </xf>
    <xf numFmtId="0" fontId="9" fillId="0" borderId="0"/>
    <xf numFmtId="0" fontId="9" fillId="0" borderId="0"/>
    <xf numFmtId="0" fontId="2" fillId="0" borderId="0"/>
  </cellStyleXfs>
  <cellXfs count="109">
    <xf numFmtId="164" fontId="0" fillId="0" borderId="0" xfId="0">
      <alignment vertical="top"/>
    </xf>
    <xf numFmtId="164" fontId="5" fillId="2" borderId="0" xfId="0" applyFont="1" applyFill="1">
      <alignment vertical="top"/>
    </xf>
    <xf numFmtId="164" fontId="4" fillId="2" borderId="0" xfId="0" applyFont="1" applyFill="1">
      <alignment vertical="top"/>
    </xf>
    <xf numFmtId="164" fontId="7" fillId="2" borderId="0" xfId="0" applyFont="1" applyFill="1">
      <alignment vertical="top"/>
    </xf>
    <xf numFmtId="0" fontId="8" fillId="0" borderId="0" xfId="6" applyFont="1"/>
    <xf numFmtId="164" fontId="5" fillId="0" borderId="0" xfId="0" applyFont="1" applyFill="1">
      <alignment vertical="top"/>
    </xf>
    <xf numFmtId="0" fontId="8" fillId="0" borderId="0" xfId="6" applyFont="1" applyBorder="1"/>
    <xf numFmtId="164" fontId="5" fillId="2" borderId="2" xfId="0" applyFont="1" applyFill="1" applyBorder="1">
      <alignment vertical="top"/>
    </xf>
    <xf numFmtId="0" fontId="11" fillId="0" borderId="0" xfId="6" applyFont="1" applyBorder="1"/>
    <xf numFmtId="164" fontId="11" fillId="0" borderId="0" xfId="6" applyNumberFormat="1" applyFont="1"/>
    <xf numFmtId="0" fontId="11" fillId="0" borderId="0" xfId="6" applyFont="1"/>
    <xf numFmtId="164" fontId="11" fillId="0" borderId="0" xfId="0" applyFont="1">
      <alignment vertical="top"/>
    </xf>
    <xf numFmtId="164" fontId="11" fillId="4" borderId="0" xfId="0" applyFont="1" applyFill="1">
      <alignment vertical="top"/>
    </xf>
    <xf numFmtId="164" fontId="4" fillId="2" borderId="3" xfId="0" applyFont="1" applyFill="1" applyBorder="1">
      <alignment vertical="top"/>
    </xf>
    <xf numFmtId="0" fontId="8" fillId="0" borderId="0" xfId="6" applyFont="1" applyFill="1"/>
    <xf numFmtId="164" fontId="10" fillId="0" borderId="0" xfId="0" applyFont="1" applyFill="1">
      <alignment vertical="top"/>
    </xf>
    <xf numFmtId="164" fontId="14" fillId="0" borderId="0" xfId="0" applyFont="1" applyFill="1">
      <alignment vertical="top"/>
    </xf>
    <xf numFmtId="164" fontId="5" fillId="2" borderId="0" xfId="0" applyFont="1" applyFill="1" applyAlignment="1">
      <alignment horizontal="right" vertical="top"/>
    </xf>
    <xf numFmtId="164" fontId="11" fillId="0" borderId="0" xfId="0" applyNumberFormat="1" applyFont="1">
      <alignment vertical="top"/>
    </xf>
    <xf numFmtId="164" fontId="5" fillId="2" borderId="0" xfId="0" quotePrefix="1" applyFont="1" applyFill="1">
      <alignment vertical="top"/>
    </xf>
    <xf numFmtId="170" fontId="11" fillId="4" borderId="0" xfId="0" applyNumberFormat="1" applyFont="1" applyFill="1">
      <alignment vertical="top"/>
    </xf>
    <xf numFmtId="164" fontId="11" fillId="0" borderId="0" xfId="0" applyFont="1" applyFill="1">
      <alignment vertical="top"/>
    </xf>
    <xf numFmtId="164" fontId="11" fillId="0" borderId="0" xfId="0" applyNumberFormat="1" applyFont="1" applyFill="1">
      <alignment vertical="top"/>
    </xf>
    <xf numFmtId="170" fontId="11" fillId="0" borderId="0" xfId="0" applyNumberFormat="1" applyFont="1">
      <alignment vertical="top"/>
    </xf>
    <xf numFmtId="170" fontId="11" fillId="0" borderId="0" xfId="0" applyNumberFormat="1" applyFont="1" applyFill="1">
      <alignment vertical="top"/>
    </xf>
    <xf numFmtId="164" fontId="12" fillId="0" borderId="3" xfId="0" applyFont="1" applyFill="1" applyBorder="1">
      <alignment vertical="top"/>
    </xf>
    <xf numFmtId="164" fontId="5" fillId="2" borderId="0" xfId="0" applyFont="1" applyFill="1" applyAlignment="1">
      <alignment horizontal="left" vertical="top"/>
    </xf>
    <xf numFmtId="164" fontId="16" fillId="0" borderId="0" xfId="0" applyFont="1">
      <alignment vertical="top"/>
    </xf>
    <xf numFmtId="164" fontId="5" fillId="9" borderId="0" xfId="0" applyFont="1" applyFill="1">
      <alignment vertical="top"/>
    </xf>
    <xf numFmtId="164" fontId="10" fillId="9" borderId="0" xfId="0" applyFont="1" applyFill="1">
      <alignment vertical="top"/>
    </xf>
    <xf numFmtId="0" fontId="11" fillId="0" borderId="0" xfId="6" applyFont="1" applyBorder="1" applyAlignment="1">
      <alignment horizontal="right"/>
    </xf>
    <xf numFmtId="0" fontId="8" fillId="3" borderId="0" xfId="6" applyFont="1" applyFill="1"/>
    <xf numFmtId="0" fontId="8" fillId="5" borderId="0" xfId="6" applyFont="1" applyFill="1"/>
    <xf numFmtId="164" fontId="18" fillId="0" borderId="0" xfId="0" applyFont="1">
      <alignment vertical="top"/>
    </xf>
    <xf numFmtId="0" fontId="1" fillId="0" borderId="0" xfId="6" applyFont="1"/>
    <xf numFmtId="0" fontId="1" fillId="4" borderId="0" xfId="6" applyFont="1" applyFill="1"/>
    <xf numFmtId="0" fontId="19" fillId="0" borderId="0" xfId="6" applyFont="1"/>
    <xf numFmtId="0" fontId="1" fillId="0" borderId="0" xfId="6" applyFont="1" applyFill="1"/>
    <xf numFmtId="171" fontId="1" fillId="4" borderId="0" xfId="1" applyNumberFormat="1" applyFont="1" applyFill="1">
      <alignment vertical="top"/>
    </xf>
    <xf numFmtId="164" fontId="6" fillId="7" borderId="0" xfId="0" applyFont="1" applyFill="1" applyBorder="1">
      <alignment vertical="top"/>
    </xf>
    <xf numFmtId="164" fontId="15" fillId="7" borderId="3" xfId="0" applyFont="1" applyFill="1" applyBorder="1">
      <alignment vertical="top"/>
    </xf>
    <xf numFmtId="164" fontId="5" fillId="7" borderId="0" xfId="0" applyFont="1" applyFill="1">
      <alignment vertical="top"/>
    </xf>
    <xf numFmtId="164" fontId="4" fillId="7" borderId="3" xfId="0" applyFont="1" applyFill="1" applyBorder="1">
      <alignment vertical="top"/>
    </xf>
    <xf numFmtId="0" fontId="8" fillId="7" borderId="0" xfId="6" applyFont="1" applyFill="1"/>
    <xf numFmtId="164" fontId="12" fillId="7" borderId="3" xfId="0" applyFont="1" applyFill="1" applyBorder="1">
      <alignment vertical="top"/>
    </xf>
    <xf numFmtId="164" fontId="11" fillId="7" borderId="0" xfId="0" applyFont="1" applyFill="1">
      <alignment vertical="top"/>
    </xf>
    <xf numFmtId="0" fontId="11" fillId="10" borderId="0" xfId="6" applyFont="1" applyFill="1" applyBorder="1"/>
    <xf numFmtId="164" fontId="11" fillId="10" borderId="0" xfId="6" applyNumberFormat="1" applyFont="1" applyFill="1"/>
    <xf numFmtId="164" fontId="11" fillId="10" borderId="0" xfId="0" applyFont="1" applyFill="1">
      <alignment vertical="top"/>
    </xf>
    <xf numFmtId="0" fontId="13" fillId="11" borderId="0" xfId="7" applyFont="1" applyFill="1" applyAlignment="1">
      <alignment horizontal="right"/>
    </xf>
    <xf numFmtId="164" fontId="12" fillId="10" borderId="0" xfId="0" applyFont="1" applyFill="1" applyBorder="1">
      <alignment vertical="top"/>
    </xf>
    <xf numFmtId="164" fontId="12" fillId="10" borderId="3" xfId="0" applyFont="1" applyFill="1" applyBorder="1">
      <alignment vertical="top"/>
    </xf>
    <xf numFmtId="0" fontId="8" fillId="10" borderId="0" xfId="6" applyFont="1" applyFill="1"/>
    <xf numFmtId="0" fontId="1" fillId="10" borderId="0" xfId="6" applyFont="1" applyFill="1"/>
    <xf numFmtId="170" fontId="11" fillId="10" borderId="0" xfId="0" applyNumberFormat="1" applyFont="1" applyFill="1">
      <alignment vertical="top"/>
    </xf>
    <xf numFmtId="164" fontId="11" fillId="10" borderId="0" xfId="0" applyNumberFormat="1" applyFont="1" applyFill="1">
      <alignment vertical="top"/>
    </xf>
    <xf numFmtId="165" fontId="11" fillId="10" borderId="0" xfId="1" applyFont="1" applyFill="1">
      <alignment vertical="top"/>
    </xf>
    <xf numFmtId="164" fontId="19" fillId="10" borderId="0" xfId="6" applyNumberFormat="1" applyFont="1" applyFill="1"/>
    <xf numFmtId="165" fontId="19" fillId="10" borderId="0" xfId="1" applyFont="1" applyFill="1">
      <alignment vertical="top"/>
    </xf>
    <xf numFmtId="164" fontId="19" fillId="0" borderId="0" xfId="6" applyNumberFormat="1" applyFont="1"/>
    <xf numFmtId="0" fontId="19" fillId="0" borderId="0" xfId="6" quotePrefix="1" applyFont="1"/>
    <xf numFmtId="0" fontId="8" fillId="5" borderId="0" xfId="6" applyFont="1" applyFill="1" applyBorder="1"/>
    <xf numFmtId="0" fontId="1" fillId="5" borderId="0" xfId="6" applyFont="1" applyFill="1"/>
    <xf numFmtId="164" fontId="10" fillId="7" borderId="0" xfId="0" applyFont="1" applyFill="1">
      <alignment vertical="top"/>
    </xf>
    <xf numFmtId="164" fontId="6" fillId="7" borderId="1" xfId="0" applyFont="1" applyFill="1" applyBorder="1">
      <alignment vertical="top"/>
    </xf>
    <xf numFmtId="164" fontId="6" fillId="7" borderId="4" xfId="0" applyFont="1" applyFill="1" applyBorder="1">
      <alignment vertical="top"/>
    </xf>
    <xf numFmtId="164" fontId="17" fillId="9" borderId="0" xfId="0" applyFont="1" applyFill="1" applyAlignment="1">
      <alignment horizontal="right" vertical="top"/>
    </xf>
    <xf numFmtId="165" fontId="19" fillId="7" borderId="0" xfId="1" applyFont="1" applyFill="1">
      <alignment vertical="top"/>
    </xf>
    <xf numFmtId="164" fontId="6" fillId="9" borderId="2" xfId="0" applyFont="1" applyFill="1" applyBorder="1">
      <alignment vertical="top"/>
    </xf>
    <xf numFmtId="164" fontId="6" fillId="7" borderId="3" xfId="0" applyFont="1" applyFill="1" applyBorder="1">
      <alignment vertical="top"/>
    </xf>
    <xf numFmtId="165" fontId="19" fillId="0" borderId="0" xfId="1" applyFont="1" applyFill="1">
      <alignment vertical="top"/>
    </xf>
    <xf numFmtId="164" fontId="4" fillId="0" borderId="0" xfId="0" applyFont="1" applyFill="1" applyBorder="1">
      <alignment vertical="top"/>
    </xf>
    <xf numFmtId="164" fontId="17" fillId="0" borderId="0" xfId="0" applyFont="1" applyFill="1" applyBorder="1">
      <alignment vertical="top"/>
    </xf>
    <xf numFmtId="164" fontId="17" fillId="6" borderId="0" xfId="0" applyNumberFormat="1" applyFont="1" applyFill="1" applyBorder="1">
      <alignment vertical="top"/>
    </xf>
    <xf numFmtId="164" fontId="12" fillId="10" borderId="0" xfId="6" applyNumberFormat="1" applyFont="1" applyFill="1"/>
    <xf numFmtId="165" fontId="11" fillId="0" borderId="0" xfId="1" applyFont="1" applyFill="1">
      <alignment vertical="top"/>
    </xf>
    <xf numFmtId="164" fontId="14" fillId="8" borderId="0" xfId="0" applyFont="1" applyFill="1" applyBorder="1" applyAlignment="1">
      <alignment horizontal="right" vertical="top" readingOrder="1"/>
    </xf>
    <xf numFmtId="165" fontId="10" fillId="7" borderId="0" xfId="1" applyFont="1" applyFill="1">
      <alignment vertical="top"/>
    </xf>
    <xf numFmtId="164" fontId="18" fillId="7" borderId="0" xfId="0" applyFont="1" applyFill="1">
      <alignment vertical="top"/>
    </xf>
    <xf numFmtId="164" fontId="11" fillId="0" borderId="0" xfId="6" applyNumberFormat="1" applyFont="1" applyBorder="1"/>
    <xf numFmtId="164" fontId="11" fillId="6" borderId="0" xfId="6" applyNumberFormat="1" applyFont="1" applyFill="1" applyBorder="1"/>
    <xf numFmtId="164" fontId="5" fillId="12" borderId="0" xfId="0" applyFont="1" applyFill="1">
      <alignment vertical="top"/>
    </xf>
    <xf numFmtId="164" fontId="11" fillId="0" borderId="0" xfId="0" applyFont="1" applyBorder="1">
      <alignment vertical="top"/>
    </xf>
    <xf numFmtId="164" fontId="18" fillId="7" borderId="0" xfId="0" applyFont="1" applyFill="1" applyBorder="1">
      <alignment vertical="top"/>
    </xf>
    <xf numFmtId="164" fontId="11" fillId="0" borderId="0" xfId="0" applyFont="1" applyFill="1" applyBorder="1">
      <alignment vertical="top"/>
    </xf>
    <xf numFmtId="164" fontId="11" fillId="4" borderId="0" xfId="0" applyFont="1" applyFill="1" applyBorder="1">
      <alignment vertical="top"/>
    </xf>
    <xf numFmtId="170" fontId="11" fillId="4" borderId="0" xfId="0" applyNumberFormat="1" applyFont="1" applyFill="1" applyBorder="1">
      <alignment vertical="top"/>
    </xf>
    <xf numFmtId="164" fontId="11" fillId="7" borderId="0" xfId="0" applyFont="1" applyFill="1" applyBorder="1">
      <alignment vertical="top"/>
    </xf>
    <xf numFmtId="0" fontId="8" fillId="0" borderId="5" xfId="6" applyFont="1" applyBorder="1"/>
    <xf numFmtId="164" fontId="12" fillId="0" borderId="6" xfId="0" applyFont="1" applyFill="1" applyBorder="1">
      <alignment vertical="top"/>
    </xf>
    <xf numFmtId="164" fontId="21" fillId="2" borderId="0" xfId="0" applyFont="1" applyFill="1">
      <alignment vertical="top"/>
    </xf>
    <xf numFmtId="0" fontId="1" fillId="3" borderId="0" xfId="6" applyFont="1" applyFill="1"/>
    <xf numFmtId="0" fontId="22" fillId="3" borderId="0" xfId="6" applyFont="1" applyFill="1"/>
    <xf numFmtId="164" fontId="7" fillId="12" borderId="0" xfId="0" applyFont="1" applyFill="1" applyAlignment="1">
      <alignment horizontal="left" vertical="top" wrapText="1"/>
    </xf>
    <xf numFmtId="164" fontId="5" fillId="2" borderId="0" xfId="0" applyFont="1" applyFill="1" applyBorder="1">
      <alignment vertical="top"/>
    </xf>
    <xf numFmtId="164" fontId="12" fillId="7" borderId="0" xfId="0" applyFont="1" applyFill="1" applyBorder="1">
      <alignment vertical="top"/>
    </xf>
    <xf numFmtId="165" fontId="11" fillId="4" borderId="0" xfId="1" applyFont="1" applyFill="1">
      <alignment vertical="top"/>
    </xf>
    <xf numFmtId="164" fontId="17" fillId="0" borderId="0" xfId="0" applyFont="1" applyFill="1" applyAlignment="1">
      <alignment horizontal="right" vertical="top"/>
    </xf>
    <xf numFmtId="0" fontId="1" fillId="13" borderId="0" xfId="6" applyFont="1" applyFill="1"/>
    <xf numFmtId="0" fontId="19" fillId="13" borderId="0" xfId="6" applyFont="1" applyFill="1"/>
    <xf numFmtId="164" fontId="6" fillId="0" borderId="0" xfId="0" applyFont="1" applyFill="1" applyBorder="1">
      <alignment vertical="top"/>
    </xf>
    <xf numFmtId="164" fontId="5" fillId="2" borderId="3" xfId="0" applyFont="1" applyFill="1" applyBorder="1">
      <alignment vertical="top"/>
    </xf>
    <xf numFmtId="165" fontId="10" fillId="4" borderId="0" xfId="1" applyFont="1" applyFill="1">
      <alignment vertical="top"/>
    </xf>
    <xf numFmtId="165" fontId="10" fillId="4" borderId="0" xfId="1" applyFont="1" applyFill="1" applyBorder="1">
      <alignment vertical="top"/>
    </xf>
    <xf numFmtId="0" fontId="24" fillId="5" borderId="0" xfId="6" applyFont="1" applyFill="1" applyAlignment="1">
      <alignment horizontal="right"/>
    </xf>
    <xf numFmtId="0" fontId="8" fillId="0" borderId="3" xfId="6" applyFont="1" applyFill="1" applyBorder="1"/>
    <xf numFmtId="164" fontId="4" fillId="0" borderId="3" xfId="0" applyFont="1" applyFill="1" applyBorder="1">
      <alignment vertical="top"/>
    </xf>
    <xf numFmtId="0" fontId="8" fillId="5" borderId="3" xfId="6" applyFont="1" applyFill="1" applyBorder="1"/>
    <xf numFmtId="0" fontId="8" fillId="0" borderId="7" xfId="6" applyFont="1" applyBorder="1"/>
  </cellXfs>
  <cellStyles count="9">
    <cellStyle name="DateLong" xfId="3" xr:uid="{6E480D10-B4F1-49B8-8621-AEBE31EF4B42}"/>
    <cellStyle name="DateShort" xfId="4" xr:uid="{FE8FCC69-68A2-43CF-8409-53716F60D3F1}"/>
    <cellStyle name="Factor" xfId="2" xr:uid="{94F78F08-DCF1-4C38-B4AC-3C253090C52D}"/>
    <cellStyle name="Normal" xfId="0" builtinId="0" customBuiltin="1"/>
    <cellStyle name="Normal 2" xfId="6" xr:uid="{8AB22EA6-6103-4E99-B139-E799565D93AA}"/>
    <cellStyle name="Normal 26" xfId="7" xr:uid="{FA4F5DE2-DC21-4741-B198-33E348915A67}"/>
    <cellStyle name="Normal 3" xfId="8" xr:uid="{19E08537-E0C9-43F9-A160-4D92298EFB83}"/>
    <cellStyle name="Percent" xfId="1" builtinId="5" customBuiltin="1"/>
    <cellStyle name="Year" xfId="5" xr:uid="{1742B6EE-31BD-4142-8E81-CFD40E411307}"/>
  </cellStyles>
  <dxfs count="1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FFFF"/>
      <color rgb="FFFFF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9C00-7B83-4F60-8EFD-3119300E3EBA}">
  <sheetPr>
    <tabColor rgb="FFFF0000"/>
  </sheetPr>
  <dimension ref="A1:AW120"/>
  <sheetViews>
    <sheetView tabSelected="1" zoomScale="70" zoomScaleNormal="70" workbookViewId="0">
      <pane xSplit="5" ySplit="19" topLeftCell="F20" activePane="bottomRight" state="frozen"/>
      <selection pane="topRight" activeCell="F1" sqref="F1"/>
      <selection pane="bottomLeft" activeCell="A11" sqref="A11"/>
      <selection pane="bottomRight" activeCell="AQ91" sqref="AQ91"/>
    </sheetView>
  </sheetViews>
  <sheetFormatPr defaultColWidth="9.21875" defaultRowHeight="14.4" outlineLevelRow="1" outlineLevelCol="1" x14ac:dyDescent="0.3"/>
  <cols>
    <col min="1" max="1" width="22.33203125" style="6" customWidth="1"/>
    <col min="2" max="2" width="28.21875" style="4" customWidth="1"/>
    <col min="3" max="3" width="27.44140625" style="4" customWidth="1"/>
    <col min="4" max="4" width="21.44140625" style="4" customWidth="1"/>
    <col min="5" max="6" width="17.21875" style="4" customWidth="1"/>
    <col min="7" max="7" width="15.21875" style="4" hidden="1" customWidth="1" outlineLevel="1"/>
    <col min="8" max="8" width="12.44140625" style="4" hidden="1" customWidth="1" outlineLevel="1"/>
    <col min="9" max="9" width="13.44140625" style="4" hidden="1" customWidth="1" outlineLevel="1"/>
    <col min="10" max="10" width="13.77734375" style="4" hidden="1" customWidth="1" outlineLevel="1"/>
    <col min="11" max="11" width="14.33203125" style="4" hidden="1" customWidth="1" outlineLevel="1"/>
    <col min="12" max="12" width="17" style="4" hidden="1" customWidth="1" outlineLevel="1"/>
    <col min="13" max="13" width="20.109375" style="4" hidden="1" customWidth="1" outlineLevel="1"/>
    <col min="14" max="14" width="20.5546875" style="4" hidden="1" customWidth="1" outlineLevel="1"/>
    <col min="15" max="15" width="25.21875" style="4" hidden="1" customWidth="1" outlineLevel="1"/>
    <col min="16" max="16" width="17.77734375" style="4" hidden="1" customWidth="1" outlineLevel="1"/>
    <col min="17" max="17" width="14.88671875" style="4" hidden="1" customWidth="1" outlineLevel="1"/>
    <col min="18" max="18" width="25" style="4" hidden="1" customWidth="1" outlineLevel="1"/>
    <col min="19" max="19" width="12.21875" style="4" hidden="1" customWidth="1" outlineLevel="1"/>
    <col min="20" max="20" width="1.77734375" style="4" customWidth="1" collapsed="1"/>
    <col min="21" max="21" width="15.88671875" style="4" hidden="1" customWidth="1" outlineLevel="1"/>
    <col min="22" max="22" width="16.21875" style="4" hidden="1" customWidth="1" outlineLevel="1"/>
    <col min="23" max="23" width="20.33203125" style="4" hidden="1" customWidth="1" outlineLevel="1"/>
    <col min="24" max="24" width="17.21875" style="4" hidden="1" customWidth="1" outlineLevel="1"/>
    <col min="25" max="25" width="26.33203125" style="4" hidden="1" customWidth="1" outlineLevel="1"/>
    <col min="26" max="26" width="20.5546875" style="4" hidden="1" customWidth="1" outlineLevel="1"/>
    <col min="27" max="27" width="1.5546875" style="4" customWidth="1" collapsed="1"/>
    <col min="28" max="28" width="15" style="4" customWidth="1"/>
    <col min="29" max="29" width="14.44140625" style="4" customWidth="1"/>
    <col min="30" max="30" width="17" style="4" customWidth="1"/>
    <col min="31" max="31" width="17.21875" style="4" customWidth="1"/>
    <col min="32" max="32" width="14.44140625" style="4" customWidth="1"/>
    <col min="33" max="33" width="15.77734375" style="4" customWidth="1"/>
    <col min="34" max="34" width="20.21875" style="4" customWidth="1"/>
    <col min="35" max="35" width="15.21875" style="34" hidden="1" customWidth="1" outlineLevel="1"/>
    <col min="36" max="36" width="12" style="34" hidden="1" customWidth="1" outlineLevel="1"/>
    <col min="37" max="37" width="20.5546875" style="4" hidden="1" customWidth="1" outlineLevel="1" collapsed="1"/>
    <col min="38" max="38" width="20.5546875" style="4" hidden="1" customWidth="1" outlineLevel="1"/>
    <col min="39" max="39" width="20.33203125" style="4" customWidth="1" collapsed="1"/>
    <col min="40" max="40" width="12.6640625" style="4" hidden="1" customWidth="1" outlineLevel="1"/>
    <col min="41" max="41" width="12.5546875" style="4" hidden="1" customWidth="1" outlineLevel="1"/>
    <col min="42" max="42" width="9.21875" style="34" collapsed="1"/>
    <col min="43" max="16384" width="9.21875" style="4"/>
  </cols>
  <sheetData>
    <row r="1" spans="1:49" ht="14.4" customHeight="1" x14ac:dyDescent="0.3">
      <c r="A1" s="2" t="s">
        <v>32</v>
      </c>
      <c r="B1" s="1"/>
      <c r="C1" s="1"/>
      <c r="D1" s="90" t="s">
        <v>71</v>
      </c>
      <c r="E1" s="1"/>
      <c r="F1" s="1"/>
      <c r="G1" s="2" t="s">
        <v>56</v>
      </c>
      <c r="H1" s="1"/>
      <c r="I1" s="81"/>
      <c r="J1" s="2" t="s">
        <v>57</v>
      </c>
      <c r="K1" s="1"/>
      <c r="L1" s="81"/>
      <c r="M1" s="2" t="s">
        <v>58</v>
      </c>
      <c r="N1" s="1"/>
      <c r="O1" s="81"/>
      <c r="P1" s="2" t="s">
        <v>58</v>
      </c>
      <c r="Q1" s="1"/>
      <c r="R1" s="81"/>
      <c r="S1" s="1"/>
      <c r="T1" s="1"/>
      <c r="U1" s="2" t="s">
        <v>62</v>
      </c>
      <c r="V1" s="2"/>
      <c r="W1" s="1"/>
      <c r="X1" s="1"/>
      <c r="Y1" s="2"/>
      <c r="Z1" s="1"/>
      <c r="AA1" s="1"/>
      <c r="AB1" s="2" t="s">
        <v>70</v>
      </c>
      <c r="AC1" s="2"/>
      <c r="AD1" s="1"/>
      <c r="AE1" s="1"/>
      <c r="AF1" s="2"/>
      <c r="AG1" s="1"/>
      <c r="AH1" s="7"/>
      <c r="AI1" s="98"/>
      <c r="AJ1" s="98"/>
      <c r="AK1" s="1"/>
      <c r="AL1" s="1"/>
      <c r="AM1" s="7"/>
    </row>
    <row r="2" spans="1:49" ht="14.4" customHeight="1" x14ac:dyDescent="0.3">
      <c r="A2" s="2"/>
      <c r="B2" s="1"/>
      <c r="C2" s="1"/>
      <c r="D2" s="3" t="s">
        <v>0</v>
      </c>
      <c r="E2" s="1"/>
      <c r="F2" s="1"/>
      <c r="G2" s="1"/>
      <c r="H2" s="1"/>
      <c r="I2" s="93" t="s">
        <v>53</v>
      </c>
      <c r="J2" s="1" t="s">
        <v>37</v>
      </c>
      <c r="K2" s="1"/>
      <c r="L2" s="93" t="s">
        <v>52</v>
      </c>
      <c r="M2" s="1" t="s">
        <v>59</v>
      </c>
      <c r="N2" s="1"/>
      <c r="O2" s="93" t="s">
        <v>54</v>
      </c>
      <c r="P2" s="1" t="s">
        <v>60</v>
      </c>
      <c r="Q2" s="1"/>
      <c r="R2" s="93" t="s">
        <v>55</v>
      </c>
      <c r="S2" s="1"/>
      <c r="T2" s="1"/>
      <c r="U2" s="2" t="s">
        <v>27</v>
      </c>
      <c r="V2" s="2" t="s">
        <v>41</v>
      </c>
      <c r="W2" s="2" t="s">
        <v>58</v>
      </c>
      <c r="X2" s="2" t="s">
        <v>58</v>
      </c>
      <c r="Y2" s="2" t="s">
        <v>58</v>
      </c>
      <c r="Z2" s="2" t="s">
        <v>58</v>
      </c>
      <c r="AA2" s="1"/>
      <c r="AB2" s="1" t="s">
        <v>27</v>
      </c>
      <c r="AC2" s="1" t="s">
        <v>27</v>
      </c>
      <c r="AD2" s="1" t="s">
        <v>42</v>
      </c>
      <c r="AE2" s="1" t="s">
        <v>42</v>
      </c>
      <c r="AF2" s="1" t="s">
        <v>28</v>
      </c>
      <c r="AG2" s="1" t="s">
        <v>29</v>
      </c>
      <c r="AH2" s="13"/>
      <c r="AI2" s="98"/>
      <c r="AJ2" s="98"/>
      <c r="AK2" s="2" t="s">
        <v>84</v>
      </c>
      <c r="AL2" s="2"/>
      <c r="AM2" s="13"/>
    </row>
    <row r="3" spans="1:49" ht="14.4" customHeight="1" x14ac:dyDescent="0.3">
      <c r="A3" s="1"/>
      <c r="B3" s="1"/>
      <c r="C3" s="1"/>
      <c r="D3" s="1"/>
      <c r="E3" s="1"/>
      <c r="F3" s="1"/>
      <c r="G3" s="1" t="s">
        <v>15</v>
      </c>
      <c r="H3" s="1" t="s">
        <v>5</v>
      </c>
      <c r="I3" s="93"/>
      <c r="J3" s="1" t="s">
        <v>15</v>
      </c>
      <c r="K3" s="1" t="s">
        <v>5</v>
      </c>
      <c r="L3" s="93"/>
      <c r="M3" s="1" t="s">
        <v>15</v>
      </c>
      <c r="N3" s="1" t="s">
        <v>5</v>
      </c>
      <c r="O3" s="93"/>
      <c r="P3" s="1" t="s">
        <v>15</v>
      </c>
      <c r="Q3" s="1" t="s">
        <v>5</v>
      </c>
      <c r="R3" s="93"/>
      <c r="S3" s="1"/>
      <c r="T3" s="1"/>
      <c r="U3" s="1" t="s">
        <v>34</v>
      </c>
      <c r="V3" s="1" t="s">
        <v>61</v>
      </c>
      <c r="W3" s="1" t="s">
        <v>64</v>
      </c>
      <c r="X3" s="1" t="s">
        <v>64</v>
      </c>
      <c r="Y3" s="1" t="s">
        <v>66</v>
      </c>
      <c r="Z3" s="1" t="s">
        <v>68</v>
      </c>
      <c r="AA3" s="1"/>
      <c r="AB3" s="26" t="s">
        <v>34</v>
      </c>
      <c r="AC3" s="1" t="s">
        <v>40</v>
      </c>
      <c r="AD3" s="1" t="s">
        <v>37</v>
      </c>
      <c r="AE3" s="1" t="s">
        <v>37</v>
      </c>
      <c r="AF3" s="1" t="s">
        <v>38</v>
      </c>
      <c r="AG3" s="1" t="s">
        <v>39</v>
      </c>
      <c r="AH3" s="13" t="s">
        <v>74</v>
      </c>
      <c r="AI3" s="99" t="s">
        <v>80</v>
      </c>
      <c r="AJ3" s="98"/>
      <c r="AK3" s="1"/>
      <c r="AL3" s="1"/>
      <c r="AM3" s="13" t="s">
        <v>75</v>
      </c>
      <c r="AN3" s="99" t="s">
        <v>83</v>
      </c>
      <c r="AO3" s="99"/>
    </row>
    <row r="4" spans="1:49" x14ac:dyDescent="0.3">
      <c r="A4" s="1" t="s">
        <v>31</v>
      </c>
      <c r="B4" s="1" t="s">
        <v>12</v>
      </c>
      <c r="C4" s="1" t="s">
        <v>13</v>
      </c>
      <c r="D4" s="1" t="s">
        <v>14</v>
      </c>
      <c r="E4" s="1" t="s">
        <v>15</v>
      </c>
      <c r="F4" s="1"/>
      <c r="G4" s="1"/>
      <c r="H4" s="3" t="s">
        <v>51</v>
      </c>
      <c r="I4" s="93"/>
      <c r="J4" s="1"/>
      <c r="K4" s="3" t="s">
        <v>51</v>
      </c>
      <c r="L4" s="93"/>
      <c r="M4" s="1"/>
      <c r="N4" s="3" t="s">
        <v>51</v>
      </c>
      <c r="O4" s="93"/>
      <c r="P4" s="1"/>
      <c r="Q4" s="3" t="s">
        <v>51</v>
      </c>
      <c r="R4" s="93"/>
      <c r="S4" s="1" t="s">
        <v>20</v>
      </c>
      <c r="T4" s="1"/>
      <c r="U4" s="1"/>
      <c r="V4" s="1"/>
      <c r="W4" s="1" t="s">
        <v>63</v>
      </c>
      <c r="X4" s="1" t="s">
        <v>65</v>
      </c>
      <c r="Y4" s="1" t="s">
        <v>67</v>
      </c>
      <c r="Z4" s="1" t="s">
        <v>69</v>
      </c>
      <c r="AA4" s="1"/>
      <c r="AB4" s="26"/>
      <c r="AC4" s="17"/>
      <c r="AD4" s="1" t="s">
        <v>35</v>
      </c>
      <c r="AE4" s="19" t="s">
        <v>36</v>
      </c>
      <c r="AF4" s="17"/>
      <c r="AG4" s="1" t="s">
        <v>33</v>
      </c>
      <c r="AH4" s="101" t="s">
        <v>85</v>
      </c>
      <c r="AI4" s="99" t="s">
        <v>82</v>
      </c>
      <c r="AJ4" s="98" t="s">
        <v>81</v>
      </c>
      <c r="AK4" s="1" t="s">
        <v>76</v>
      </c>
      <c r="AL4" s="94" t="s">
        <v>77</v>
      </c>
      <c r="AM4" s="101" t="s">
        <v>86</v>
      </c>
      <c r="AN4" s="99" t="s">
        <v>82</v>
      </c>
      <c r="AO4" s="98" t="s">
        <v>81</v>
      </c>
    </row>
    <row r="5" spans="1:49" s="14" customFormat="1" ht="15.6" thickBot="1" x14ac:dyDescent="0.35">
      <c r="A5" s="15"/>
      <c r="B5" s="15"/>
      <c r="C5" s="5"/>
      <c r="D5" s="16"/>
      <c r="E5" s="5"/>
      <c r="F5" s="5"/>
      <c r="G5" s="5"/>
      <c r="H5" s="5"/>
      <c r="I5" s="41"/>
      <c r="J5" s="5"/>
      <c r="K5" s="5"/>
      <c r="L5" s="41"/>
      <c r="M5" s="5"/>
      <c r="N5" s="5"/>
      <c r="O5" s="41"/>
      <c r="P5" s="5"/>
      <c r="Q5" s="5"/>
      <c r="R5" s="41"/>
      <c r="S5" s="5"/>
      <c r="T5" s="5"/>
      <c r="U5" s="5"/>
      <c r="V5" s="5"/>
      <c r="W5" s="5"/>
      <c r="X5" s="5"/>
      <c r="Y5" s="5"/>
      <c r="Z5" s="5"/>
      <c r="AA5" s="5"/>
      <c r="AB5" s="39">
        <f xml:space="preserve"> SUM( AB21, AB28, AB35, AB42, AB49, AB56, AB63, AB70, AB77,AB84,AB91,AB98,AB105,AB112)</f>
        <v>8626689.2601675633</v>
      </c>
      <c r="AC5" s="39">
        <f xml:space="preserve"> SUM( AC21, AC28, AC35, AC42, AC49, AC56, AC63, AC70, AC77,AC84,AC91,AC98,AC105,AC112)</f>
        <v>5213372.2629855135</v>
      </c>
      <c r="AD5" s="39">
        <f xml:space="preserve"> SUM( AD21, AD28, AD35, AD42, AD49, AD56, AD63, AD70, AD77,AD84,AD91,AD98,AD105,AD112)</f>
        <v>3782078.8114648852</v>
      </c>
      <c r="AE5" s="39">
        <f xml:space="preserve"> SUM( AE21, AE28, AE35, AE42, AE49, AE56, AE63, AE70, AE77,AE84,AE91,AE98,AE105,AE112)</f>
        <v>1890556.5209038635</v>
      </c>
      <c r="AF5" s="39">
        <f xml:space="preserve"> SUM( AF21, AF28, AF35, AF42, AF49, AF56, AF63, AF70, AF77,AF84,AF91,AF98,AF105,AF112)</f>
        <v>6059624.2627403205</v>
      </c>
      <c r="AG5" s="39">
        <f xml:space="preserve"> SUM( AG21, AG28, AG35, AG42, AG49, AG56, AG63, AG70, AG77,AG84,AG91,AG98,AG105,AG112)</f>
        <v>3467100.5408947472</v>
      </c>
      <c r="AH5" s="40">
        <f xml:space="preserve"> SUM( AH21, AH28, AH35, AH42, AH49, AH56, AH63, AH70, AH77,AH84,AH91,AH98,AH105,AH112)</f>
        <v>29455129.110887717</v>
      </c>
      <c r="AI5" s="100"/>
      <c r="AJ5" s="100"/>
      <c r="AK5" s="5"/>
      <c r="AL5" s="5"/>
      <c r="AM5" s="40">
        <f xml:space="preserve"> SUM( AM21, AM28, AM35, AM42, AM49, AM56, AM63, AM70, AM77,AM84,AM91,AM98,AM105,AM112)</f>
        <v>31546454.802900929</v>
      </c>
      <c r="AP5" s="37"/>
    </row>
    <row r="6" spans="1:49" s="14" customFormat="1" ht="15" x14ac:dyDescent="0.35">
      <c r="A6" s="28"/>
      <c r="B6" s="29" t="s">
        <v>44</v>
      </c>
      <c r="C6" s="29" t="s">
        <v>78</v>
      </c>
      <c r="D6" s="68" t="s">
        <v>45</v>
      </c>
      <c r="E6" s="66" t="s">
        <v>46</v>
      </c>
      <c r="F6" s="97"/>
      <c r="G6" s="5"/>
      <c r="H6" s="5"/>
      <c r="I6" s="63"/>
      <c r="J6" s="5"/>
      <c r="K6" s="5"/>
      <c r="L6" s="63"/>
      <c r="M6" s="5"/>
      <c r="N6" s="5"/>
      <c r="O6" s="63"/>
      <c r="P6" s="5"/>
      <c r="Q6" s="5"/>
      <c r="R6" s="63"/>
      <c r="S6" s="5"/>
      <c r="T6" s="5"/>
      <c r="U6" s="5"/>
      <c r="V6" s="5"/>
      <c r="W6" s="5"/>
      <c r="X6" s="5"/>
      <c r="Y6" s="5"/>
      <c r="Z6" s="5"/>
      <c r="AA6" s="5"/>
      <c r="AB6" s="41"/>
      <c r="AC6" s="41"/>
      <c r="AD6" s="41"/>
      <c r="AE6" s="41"/>
      <c r="AF6" s="41"/>
      <c r="AG6" s="41"/>
      <c r="AH6" s="42"/>
      <c r="AJ6" s="104" t="s">
        <v>87</v>
      </c>
      <c r="AK6" s="102">
        <v>2.0899999999999998E-2</v>
      </c>
      <c r="AL6" s="103">
        <v>2.5600000000000001E-2</v>
      </c>
      <c r="AM6" s="42"/>
      <c r="AQ6" s="92" t="s">
        <v>73</v>
      </c>
      <c r="AR6" s="31"/>
      <c r="AS6" s="31"/>
      <c r="AT6" s="31"/>
      <c r="AU6" s="31"/>
      <c r="AV6" s="31"/>
      <c r="AW6" s="31"/>
    </row>
    <row r="7" spans="1:49" s="14" customFormat="1" ht="15" x14ac:dyDescent="0.35">
      <c r="A7" s="63" t="s">
        <v>48</v>
      </c>
      <c r="B7" s="63">
        <f xml:space="preserve"> D21 + D28 + D35 + D42 + D49 + D56 + D63 + D70</f>
        <v>11896135.77</v>
      </c>
      <c r="C7" s="63">
        <f xml:space="preserve"> AH21 + AH28 + AH35 + AH42 + AH49 + AH56 + AH63 + AH70</f>
        <v>12426455.057122936</v>
      </c>
      <c r="D7" s="69">
        <f xml:space="preserve"> C7 - B7</f>
        <v>530319.28712293692</v>
      </c>
      <c r="E7" s="67">
        <f xml:space="preserve"> D7 / C7</f>
        <v>4.2676635024640752E-2</v>
      </c>
      <c r="F7" s="70"/>
      <c r="G7" s="5"/>
      <c r="H7" s="5"/>
      <c r="I7" s="77"/>
      <c r="J7" s="5"/>
      <c r="K7" s="5"/>
      <c r="L7" s="77"/>
      <c r="M7" s="5"/>
      <c r="N7" s="5"/>
      <c r="O7" s="77"/>
      <c r="P7" s="5"/>
      <c r="Q7" s="5"/>
      <c r="R7" s="77"/>
      <c r="S7" s="5"/>
      <c r="T7" s="5"/>
      <c r="U7" s="5"/>
      <c r="V7" s="5"/>
      <c r="W7" s="5"/>
      <c r="X7" s="5"/>
      <c r="Y7" s="5"/>
      <c r="Z7" s="5"/>
      <c r="AA7" s="5"/>
      <c r="AB7" s="41"/>
      <c r="AC7" s="41"/>
      <c r="AD7" s="41"/>
      <c r="AE7" s="41"/>
      <c r="AF7" s="41"/>
      <c r="AG7" s="43"/>
      <c r="AH7" s="42"/>
      <c r="AJ7" s="104" t="s">
        <v>88</v>
      </c>
      <c r="AK7" s="102">
        <v>4.07E-2</v>
      </c>
      <c r="AL7" s="103">
        <v>5.2900000000000003E-2</v>
      </c>
      <c r="AM7" s="42"/>
      <c r="AQ7" s="91" t="s">
        <v>72</v>
      </c>
      <c r="AR7" s="91"/>
      <c r="AS7" s="91"/>
      <c r="AT7" s="31"/>
      <c r="AU7" s="31"/>
      <c r="AV7" s="31"/>
      <c r="AW7" s="31"/>
    </row>
    <row r="8" spans="1:49" s="14" customFormat="1" x14ac:dyDescent="0.3">
      <c r="A8" s="63" t="s">
        <v>50</v>
      </c>
      <c r="B8" s="63">
        <f xml:space="preserve"> D77 + D84 + D91</f>
        <v>12294899.943999998</v>
      </c>
      <c r="C8" s="63">
        <f xml:space="preserve"> AH77 + AH84 + AH91</f>
        <v>12928174.574917471</v>
      </c>
      <c r="D8" s="69">
        <f xml:space="preserve"> C8 - B8</f>
        <v>633274.63091747276</v>
      </c>
      <c r="E8" s="67">
        <f xml:space="preserve"> D8 / C8</f>
        <v>4.8984071745605692E-2</v>
      </c>
      <c r="F8" s="70"/>
      <c r="G8" s="5"/>
      <c r="H8" s="5"/>
      <c r="I8" s="43"/>
      <c r="J8" s="5"/>
      <c r="K8" s="5"/>
      <c r="L8" s="43"/>
      <c r="M8" s="5"/>
      <c r="N8" s="5"/>
      <c r="O8" s="43"/>
      <c r="P8" s="5"/>
      <c r="Q8" s="5"/>
      <c r="R8" s="43"/>
      <c r="S8" s="5"/>
      <c r="T8" s="5"/>
      <c r="U8" s="5"/>
      <c r="V8" s="5"/>
      <c r="W8" s="5"/>
      <c r="X8" s="5"/>
      <c r="Y8" s="5"/>
      <c r="Z8" s="5"/>
      <c r="AA8" s="5"/>
      <c r="AB8" s="41"/>
      <c r="AC8" s="41"/>
      <c r="AD8" s="41"/>
      <c r="AE8" s="41"/>
      <c r="AF8" s="41"/>
      <c r="AG8" s="43"/>
      <c r="AH8" s="42"/>
      <c r="AK8" s="5"/>
      <c r="AL8" s="5"/>
      <c r="AM8" s="42"/>
      <c r="AQ8" s="38">
        <f xml:space="preserve"> (110-45) / 1878 *AR8</f>
        <v>3.4611288604898829E-2</v>
      </c>
      <c r="AR8" s="35">
        <v>1</v>
      </c>
      <c r="AS8" s="35" t="s">
        <v>43</v>
      </c>
      <c r="AT8" s="31"/>
      <c r="AU8" s="31"/>
      <c r="AV8" s="31"/>
      <c r="AW8" s="31"/>
    </row>
    <row r="9" spans="1:49" s="14" customFormat="1" x14ac:dyDescent="0.3">
      <c r="A9" s="63" t="s">
        <v>49</v>
      </c>
      <c r="B9" s="63">
        <f xml:space="preserve"> D98 + D105 + D112</f>
        <v>3873210.4160000002</v>
      </c>
      <c r="C9" s="63">
        <f xml:space="preserve"> AH98 + AH105 + AH112</f>
        <v>4100499.478847309</v>
      </c>
      <c r="D9" s="69">
        <f t="shared" ref="D9" si="0" xml:space="preserve"> C9 - B9</f>
        <v>227289.06284730881</v>
      </c>
      <c r="E9" s="67">
        <f xml:space="preserve"> D9 / C9</f>
        <v>5.5429604129885665E-2</v>
      </c>
      <c r="F9" s="70"/>
      <c r="G9" s="5"/>
      <c r="H9" s="5"/>
      <c r="I9" s="77"/>
      <c r="J9" s="5"/>
      <c r="K9" s="5"/>
      <c r="L9" s="77"/>
      <c r="M9" s="5"/>
      <c r="N9" s="5"/>
      <c r="O9" s="77"/>
      <c r="P9" s="5"/>
      <c r="Q9" s="5"/>
      <c r="R9" s="77"/>
      <c r="S9" s="5"/>
      <c r="T9" s="5"/>
      <c r="U9" s="5"/>
      <c r="V9" s="5"/>
      <c r="W9" s="5"/>
      <c r="X9" s="5"/>
      <c r="Y9" s="5"/>
      <c r="Z9" s="5"/>
      <c r="AA9" s="5"/>
      <c r="AB9" s="41"/>
      <c r="AC9" s="41"/>
      <c r="AD9" s="41"/>
      <c r="AE9" s="41"/>
      <c r="AF9" s="41"/>
      <c r="AG9" s="43"/>
      <c r="AH9" s="42"/>
      <c r="AK9" s="5"/>
      <c r="AL9" s="5"/>
      <c r="AM9" s="42"/>
      <c r="AQ9" s="92"/>
      <c r="AR9" s="91"/>
      <c r="AS9" s="91"/>
      <c r="AT9" s="31"/>
      <c r="AU9" s="31"/>
      <c r="AV9" s="31"/>
      <c r="AW9" s="31"/>
    </row>
    <row r="10" spans="1:49" s="14" customFormat="1" ht="15" thickBot="1" x14ac:dyDescent="0.35">
      <c r="A10" s="64" t="s">
        <v>0</v>
      </c>
      <c r="B10" s="64">
        <f>SUM(B7:B9)</f>
        <v>28064246.129999999</v>
      </c>
      <c r="C10" s="64">
        <f>SUM(C7:C9)</f>
        <v>29455129.110887717</v>
      </c>
      <c r="D10" s="65">
        <f xml:space="preserve"> C10 - B10</f>
        <v>1390882.9808877185</v>
      </c>
      <c r="E10" s="67">
        <f xml:space="preserve"> D10 / C10</f>
        <v>4.7220400075367389E-2</v>
      </c>
      <c r="F10" s="70"/>
      <c r="G10" s="5"/>
      <c r="H10" s="5"/>
      <c r="I10" s="77"/>
      <c r="J10" s="5"/>
      <c r="K10" s="5"/>
      <c r="L10" s="77"/>
      <c r="M10" s="5"/>
      <c r="N10" s="5"/>
      <c r="O10" s="77"/>
      <c r="P10" s="5"/>
      <c r="Q10" s="5"/>
      <c r="R10" s="77"/>
      <c r="S10" s="5"/>
      <c r="T10" s="5"/>
      <c r="U10" s="5"/>
      <c r="V10" s="5"/>
      <c r="W10" s="5"/>
      <c r="X10" s="5"/>
      <c r="Y10" s="5"/>
      <c r="Z10" s="5"/>
      <c r="AA10" s="5"/>
      <c r="AB10" s="41"/>
      <c r="AC10" s="41"/>
      <c r="AD10" s="41"/>
      <c r="AE10" s="41"/>
      <c r="AF10" s="41"/>
      <c r="AG10" s="41"/>
      <c r="AH10" s="42"/>
      <c r="AI10" s="37"/>
      <c r="AJ10" s="37"/>
      <c r="AK10" s="5"/>
      <c r="AL10" s="5"/>
      <c r="AM10" s="42"/>
      <c r="AP10" s="37"/>
    </row>
    <row r="11" spans="1:49" s="14" customFormat="1" ht="14.4" hidden="1" customHeight="1" outlineLevel="1" x14ac:dyDescent="0.3">
      <c r="A11" s="72" t="s">
        <v>47</v>
      </c>
      <c r="B11" s="72">
        <f xml:space="preserve"> SUM( D21, D28, D35, D42, D49, D56, D63, D70, D77,D84,D91,D98,D105,D112)</f>
        <v>28064246.129999999</v>
      </c>
      <c r="C11" s="72">
        <f xml:space="preserve"> SUM( AH21, AH28, AH35, AH42, AH49, AH56, AH63, AH70, AH77,AH84,AH91,AH98,AH105,AH112)</f>
        <v>29455129.110887717</v>
      </c>
      <c r="D11" s="72">
        <f xml:space="preserve"> SUM( AI21, AI28, AI35, AI42, AI49, AI56, AI63, AI70, AI77,AI84,AI91,AI98,AI105,AI112)</f>
        <v>1390882.9808877159</v>
      </c>
      <c r="G11" s="5"/>
      <c r="H11" s="5"/>
      <c r="I11" s="72"/>
      <c r="J11" s="5"/>
      <c r="K11" s="5"/>
      <c r="L11" s="72"/>
      <c r="M11" s="5"/>
      <c r="N11" s="5"/>
      <c r="O11" s="72"/>
      <c r="P11" s="5"/>
      <c r="Q11" s="5"/>
      <c r="R11" s="72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I11" s="37"/>
      <c r="AJ11" s="37"/>
      <c r="AK11" s="5"/>
      <c r="AL11" s="5"/>
      <c r="AM11" s="105"/>
      <c r="AP11" s="37"/>
    </row>
    <row r="12" spans="1:49" s="14" customFormat="1" ht="14.4" hidden="1" customHeight="1" outlineLevel="1" x14ac:dyDescent="0.3">
      <c r="A12" s="72" t="s">
        <v>1</v>
      </c>
      <c r="B12" s="73">
        <f t="shared" ref="B12:C12" si="1" xml:space="preserve"> ROUND(B10 - B11, 3)</f>
        <v>0</v>
      </c>
      <c r="C12" s="73">
        <f t="shared" si="1"/>
        <v>0</v>
      </c>
      <c r="D12" s="73">
        <f xml:space="preserve"> ROUND(D10 - D11, 3)</f>
        <v>0</v>
      </c>
      <c r="E12" s="70"/>
      <c r="F12" s="70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71"/>
      <c r="AI12" s="37"/>
      <c r="AJ12" s="37"/>
      <c r="AK12" s="5"/>
      <c r="AL12" s="5"/>
      <c r="AM12" s="106"/>
      <c r="AP12" s="37"/>
    </row>
    <row r="13" spans="1:49" s="14" customFormat="1" ht="6" customHeight="1" collapsed="1" thickBot="1" x14ac:dyDescent="0.35">
      <c r="A13" s="72"/>
      <c r="B13" s="72"/>
      <c r="C13" s="72"/>
      <c r="D13" s="72"/>
      <c r="E13" s="70"/>
      <c r="F13" s="70"/>
      <c r="G13" s="5"/>
      <c r="H13" s="5"/>
      <c r="I13" s="77"/>
      <c r="J13" s="5"/>
      <c r="K13" s="5"/>
      <c r="L13" s="77"/>
      <c r="M13" s="5"/>
      <c r="N13" s="5"/>
      <c r="O13" s="77"/>
      <c r="P13" s="5"/>
      <c r="Q13" s="5"/>
      <c r="R13" s="77"/>
      <c r="S13" s="5"/>
      <c r="T13" s="5"/>
      <c r="U13" s="5"/>
      <c r="V13" s="5"/>
      <c r="W13" s="5"/>
      <c r="X13" s="5"/>
      <c r="Y13" s="5"/>
      <c r="Z13" s="5"/>
      <c r="AA13" s="5"/>
      <c r="AB13" s="41"/>
      <c r="AC13" s="41"/>
      <c r="AD13" s="41"/>
      <c r="AE13" s="41"/>
      <c r="AF13" s="41"/>
      <c r="AG13" s="41"/>
      <c r="AH13" s="42"/>
      <c r="AI13" s="37"/>
      <c r="AJ13" s="37"/>
      <c r="AK13" s="5"/>
      <c r="AL13" s="5"/>
      <c r="AM13" s="42"/>
      <c r="AP13" s="37"/>
    </row>
    <row r="14" spans="1:49" s="14" customFormat="1" ht="14.4" customHeight="1" x14ac:dyDescent="0.3">
      <c r="A14" s="28"/>
      <c r="B14" s="29" t="str">
        <f xml:space="preserve"> C6</f>
        <v>Wordt (toekomstig) - pp 2020</v>
      </c>
      <c r="C14" s="29" t="s">
        <v>79</v>
      </c>
      <c r="D14" s="68" t="s">
        <v>45</v>
      </c>
      <c r="E14" s="66" t="s">
        <v>46</v>
      </c>
      <c r="F14" s="70"/>
      <c r="G14" s="5"/>
      <c r="H14" s="5"/>
      <c r="I14" s="77"/>
      <c r="J14" s="5"/>
      <c r="K14" s="5"/>
      <c r="L14" s="77"/>
      <c r="M14" s="5"/>
      <c r="N14" s="5"/>
      <c r="O14" s="77"/>
      <c r="P14" s="5"/>
      <c r="Q14" s="5"/>
      <c r="R14" s="77"/>
      <c r="S14" s="5"/>
      <c r="T14" s="5"/>
      <c r="U14" s="5"/>
      <c r="V14" s="5"/>
      <c r="W14" s="5"/>
      <c r="X14" s="5"/>
      <c r="Y14" s="5"/>
      <c r="Z14" s="5"/>
      <c r="AA14" s="5"/>
      <c r="AB14" s="41"/>
      <c r="AC14" s="41"/>
      <c r="AD14" s="41"/>
      <c r="AE14" s="41"/>
      <c r="AF14" s="41"/>
      <c r="AG14" s="41"/>
      <c r="AH14" s="42"/>
      <c r="AI14" s="37"/>
      <c r="AJ14" s="37"/>
      <c r="AK14" s="5"/>
      <c r="AL14" s="5"/>
      <c r="AM14" s="42"/>
      <c r="AP14" s="37"/>
    </row>
    <row r="15" spans="1:49" s="14" customFormat="1" ht="14.4" customHeight="1" x14ac:dyDescent="0.3">
      <c r="A15" s="63" t="s">
        <v>48</v>
      </c>
      <c r="B15" s="63">
        <f xml:space="preserve"> C7</f>
        <v>12426455.057122936</v>
      </c>
      <c r="C15" s="63">
        <f xml:space="preserve"> AM21 + AM28 + AM35 + AM42 + AM49 + AM56 + AM63 + AM70</f>
        <v>13263428.261780318</v>
      </c>
      <c r="D15" s="69">
        <f xml:space="preserve"> C15 - B15</f>
        <v>836973.2046573814</v>
      </c>
      <c r="E15" s="67">
        <f xml:space="preserve"> D15 / C15</f>
        <v>6.3103836213235301E-2</v>
      </c>
      <c r="G15" s="5"/>
      <c r="H15" s="5"/>
      <c r="I15" s="77"/>
      <c r="J15" s="5"/>
      <c r="K15" s="5"/>
      <c r="L15" s="77"/>
      <c r="M15" s="5"/>
      <c r="N15" s="5"/>
      <c r="O15" s="77"/>
      <c r="P15" s="5"/>
      <c r="Q15" s="5"/>
      <c r="R15" s="77"/>
      <c r="S15" s="5"/>
      <c r="T15" s="5"/>
      <c r="U15" s="5"/>
      <c r="V15" s="5"/>
      <c r="W15" s="5"/>
      <c r="X15" s="5"/>
      <c r="Y15" s="5"/>
      <c r="Z15" s="5"/>
      <c r="AA15" s="5"/>
      <c r="AB15" s="41"/>
      <c r="AC15" s="41"/>
      <c r="AD15" s="41"/>
      <c r="AE15" s="41"/>
      <c r="AF15" s="41"/>
      <c r="AG15" s="41"/>
      <c r="AH15" s="42"/>
      <c r="AI15" s="37"/>
      <c r="AJ15" s="37"/>
      <c r="AK15" s="5"/>
      <c r="AL15" s="5"/>
      <c r="AM15" s="42"/>
      <c r="AP15" s="37"/>
    </row>
    <row r="16" spans="1:49" s="14" customFormat="1" ht="14.4" customHeight="1" x14ac:dyDescent="0.3">
      <c r="A16" s="63" t="s">
        <v>50</v>
      </c>
      <c r="B16" s="63">
        <f xml:space="preserve"> C8</f>
        <v>12928174.574917471</v>
      </c>
      <c r="C16" s="63">
        <f xml:space="preserve"> AM77 + AM84 + AM91</f>
        <v>13885972.740149096</v>
      </c>
      <c r="D16" s="69">
        <f xml:space="preserve"> C16 - B16</f>
        <v>957798.16523162462</v>
      </c>
      <c r="E16" s="67">
        <f xml:space="preserve"> D16 / C16</f>
        <v>6.8975950274070649E-2</v>
      </c>
      <c r="G16" s="5"/>
      <c r="H16" s="5"/>
      <c r="I16" s="77"/>
      <c r="J16" s="5"/>
      <c r="K16" s="5"/>
      <c r="L16" s="77"/>
      <c r="M16" s="5"/>
      <c r="N16" s="5"/>
      <c r="O16" s="77"/>
      <c r="P16" s="5"/>
      <c r="Q16" s="5"/>
      <c r="R16" s="77"/>
      <c r="S16" s="5"/>
      <c r="T16" s="5"/>
      <c r="U16" s="5"/>
      <c r="V16" s="5"/>
      <c r="W16" s="5"/>
      <c r="X16" s="5"/>
      <c r="Y16" s="5"/>
      <c r="Z16" s="5"/>
      <c r="AA16" s="5"/>
      <c r="AB16" s="41"/>
      <c r="AC16" s="41"/>
      <c r="AD16" s="41"/>
      <c r="AE16" s="41"/>
      <c r="AF16" s="41"/>
      <c r="AG16" s="41"/>
      <c r="AH16" s="42"/>
      <c r="AI16" s="37"/>
      <c r="AJ16" s="37"/>
      <c r="AK16" s="5"/>
      <c r="AL16" s="5"/>
      <c r="AM16" s="42"/>
      <c r="AP16" s="37"/>
    </row>
    <row r="17" spans="1:42" s="14" customFormat="1" ht="14.4" customHeight="1" x14ac:dyDescent="0.3">
      <c r="A17" s="63" t="s">
        <v>49</v>
      </c>
      <c r="B17" s="63">
        <f xml:space="preserve"> C9</f>
        <v>4100499.478847309</v>
      </c>
      <c r="C17" s="63">
        <f xml:space="preserve"> AM98 + AM105 + AM112</f>
        <v>4397053.8009715183</v>
      </c>
      <c r="D17" s="69">
        <f t="shared" ref="D17" si="2" xml:space="preserve"> C17 - B17</f>
        <v>296554.32212420925</v>
      </c>
      <c r="E17" s="67">
        <f xml:space="preserve"> D17 / C17</f>
        <v>6.7443869360590103E-2</v>
      </c>
      <c r="G17" s="5"/>
      <c r="H17" s="5"/>
      <c r="I17" s="77"/>
      <c r="J17" s="5"/>
      <c r="K17" s="5"/>
      <c r="L17" s="77"/>
      <c r="M17" s="5"/>
      <c r="N17" s="5"/>
      <c r="O17" s="77"/>
      <c r="P17" s="5"/>
      <c r="Q17" s="5"/>
      <c r="R17" s="77"/>
      <c r="S17" s="5"/>
      <c r="T17" s="5"/>
      <c r="U17" s="5"/>
      <c r="V17" s="5"/>
      <c r="W17" s="5"/>
      <c r="X17" s="5"/>
      <c r="Y17" s="5"/>
      <c r="Z17" s="5"/>
      <c r="AA17" s="5"/>
      <c r="AB17" s="41"/>
      <c r="AC17" s="41"/>
      <c r="AD17" s="41"/>
      <c r="AE17" s="41"/>
      <c r="AF17" s="41"/>
      <c r="AG17" s="41"/>
      <c r="AH17" s="42"/>
      <c r="AI17" s="37"/>
      <c r="AJ17" s="37"/>
      <c r="AK17" s="5"/>
      <c r="AL17" s="5"/>
      <c r="AM17" s="42"/>
      <c r="AP17" s="37"/>
    </row>
    <row r="18" spans="1:42" s="14" customFormat="1" ht="14.4" customHeight="1" thickBot="1" x14ac:dyDescent="0.35">
      <c r="A18" s="64" t="s">
        <v>0</v>
      </c>
      <c r="B18" s="64">
        <f>SUM(B15:B17)</f>
        <v>29455129.110887717</v>
      </c>
      <c r="C18" s="64">
        <f>SUM(C15:C17)</f>
        <v>31546454.802900933</v>
      </c>
      <c r="D18" s="65">
        <f xml:space="preserve"> C18 - B18</f>
        <v>2091325.6920132153</v>
      </c>
      <c r="E18" s="67">
        <f xml:space="preserve"> D18 / C18</f>
        <v>6.629352505945936E-2</v>
      </c>
      <c r="F18" s="70"/>
      <c r="G18" s="5"/>
      <c r="H18" s="5"/>
      <c r="I18" s="77"/>
      <c r="J18" s="5"/>
      <c r="K18" s="5"/>
      <c r="L18" s="77"/>
      <c r="M18" s="5"/>
      <c r="N18" s="5"/>
      <c r="O18" s="77"/>
      <c r="P18" s="5"/>
      <c r="Q18" s="5"/>
      <c r="R18" s="77"/>
      <c r="S18" s="5"/>
      <c r="T18" s="5"/>
      <c r="U18" s="5"/>
      <c r="V18" s="5"/>
      <c r="W18" s="5"/>
      <c r="X18" s="5"/>
      <c r="Y18" s="5"/>
      <c r="Z18" s="5"/>
      <c r="AA18" s="5"/>
      <c r="AB18" s="41"/>
      <c r="AC18" s="41"/>
      <c r="AD18" s="41"/>
      <c r="AE18" s="41"/>
      <c r="AF18" s="41"/>
      <c r="AG18" s="41"/>
      <c r="AH18" s="42"/>
      <c r="AI18" s="37"/>
      <c r="AJ18" s="37"/>
      <c r="AK18" s="5"/>
      <c r="AL18" s="5"/>
      <c r="AM18" s="42"/>
      <c r="AP18" s="37"/>
    </row>
    <row r="19" spans="1:42" s="32" customFormat="1" ht="4.95" customHeight="1" x14ac:dyDescent="0.3">
      <c r="A19" s="61"/>
      <c r="AI19" s="62"/>
      <c r="AJ19" s="62"/>
      <c r="AM19" s="107"/>
      <c r="AP19" s="62"/>
    </row>
    <row r="20" spans="1:42" s="14" customFormat="1" x14ac:dyDescent="0.3">
      <c r="A20" s="5"/>
      <c r="B20" s="5"/>
      <c r="C20" s="5"/>
      <c r="D20" s="5"/>
      <c r="E20" s="5"/>
      <c r="F20" s="5"/>
      <c r="G20" s="5"/>
      <c r="H20" s="5"/>
      <c r="I20" s="41"/>
      <c r="J20" s="5"/>
      <c r="K20" s="5"/>
      <c r="L20" s="41"/>
      <c r="M20" s="5"/>
      <c r="N20" s="5"/>
      <c r="O20" s="41"/>
      <c r="P20" s="5"/>
      <c r="Q20" s="5"/>
      <c r="R20" s="41"/>
      <c r="S20" s="5"/>
      <c r="T20" s="5"/>
      <c r="U20" s="5"/>
      <c r="V20" s="5"/>
      <c r="W20" s="5"/>
      <c r="X20" s="5"/>
      <c r="Y20" s="5"/>
      <c r="Z20" s="5"/>
      <c r="AA20" s="5"/>
      <c r="AB20" s="41"/>
      <c r="AC20" s="41"/>
      <c r="AD20" s="41"/>
      <c r="AE20" s="41"/>
      <c r="AF20" s="41"/>
      <c r="AG20" s="41"/>
      <c r="AH20" s="42"/>
      <c r="AI20" s="37"/>
      <c r="AJ20" s="37"/>
      <c r="AK20" s="5"/>
      <c r="AL20" s="5"/>
      <c r="AM20" s="42"/>
      <c r="AP20" s="37"/>
    </row>
    <row r="21" spans="1:42" s="52" customFormat="1" ht="15" x14ac:dyDescent="0.35">
      <c r="A21" s="46" t="s">
        <v>30</v>
      </c>
      <c r="B21" s="74" t="s">
        <v>16</v>
      </c>
      <c r="C21" s="47"/>
      <c r="D21" s="48">
        <v>3336479.87</v>
      </c>
      <c r="E21" s="48">
        <v>70795.932241565519</v>
      </c>
      <c r="F21" s="48"/>
      <c r="G21" s="48">
        <f t="shared" ref="G21:G26" si="3" xml:space="preserve"> E21</f>
        <v>70795.932241565519</v>
      </c>
      <c r="H21" s="48">
        <v>47.128129602354399</v>
      </c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8" t="s">
        <v>2</v>
      </c>
      <c r="T21" s="48"/>
      <c r="U21" s="48"/>
      <c r="V21" s="48"/>
      <c r="W21" s="48"/>
      <c r="X21" s="48"/>
      <c r="Y21" s="48"/>
      <c r="Z21" s="48"/>
      <c r="AA21" s="48"/>
      <c r="AB21" s="50">
        <f t="shared" ref="AB21:AG21" si="4">SUM(AB22:AB26)</f>
        <v>3861753.2027814863</v>
      </c>
      <c r="AC21" s="50">
        <f t="shared" si="4"/>
        <v>0</v>
      </c>
      <c r="AD21" s="50">
        <f t="shared" si="4"/>
        <v>0</v>
      </c>
      <c r="AE21" s="50">
        <f t="shared" si="4"/>
        <v>0</v>
      </c>
      <c r="AF21" s="50">
        <f t="shared" si="4"/>
        <v>0</v>
      </c>
      <c r="AG21" s="50">
        <f t="shared" si="4"/>
        <v>0</v>
      </c>
      <c r="AH21" s="51">
        <f>SUM(AB21:AG21) * (1 + $AQ$8)</f>
        <v>3995413.4574038489</v>
      </c>
      <c r="AI21" s="57">
        <f xml:space="preserve"> IF( AH21 &lt;&gt; 0, AH21- D21, 0)</f>
        <v>658933.58740384877</v>
      </c>
      <c r="AJ21" s="58">
        <f xml:space="preserve"> AI21 / D21</f>
        <v>0.19749364991788448</v>
      </c>
      <c r="AK21" s="96">
        <f xml:space="preserve"> 100% * (1 + $AK$6) * (1 + $AK$7)</f>
        <v>1.0624506299999998</v>
      </c>
      <c r="AL21" s="96">
        <f xml:space="preserve"> 100% * (1 + $AL$6) * (1 + $AL$7)</f>
        <v>1.07985424</v>
      </c>
      <c r="AM21" s="51">
        <f xml:space="preserve"> (SUM( AB21, AF21) * AK21 * (1 + $AQ$8)) + (SUM( AC21:AE21, AG21) * AL21 * (1 + $AQ$8))</f>
        <v>4244929.5449291971</v>
      </c>
      <c r="AN21" s="57">
        <f xml:space="preserve"> AM21 - AH21</f>
        <v>249516.08752534818</v>
      </c>
      <c r="AO21" s="58">
        <f xml:space="preserve"> (AM21 - AH21) / AH21</f>
        <v>6.245062999999991E-2</v>
      </c>
      <c r="AP21" s="53"/>
    </row>
    <row r="22" spans="1:42" ht="15" hidden="1" outlineLevel="1" x14ac:dyDescent="0.35">
      <c r="A22" s="8"/>
      <c r="B22" s="9"/>
      <c r="C22" s="9" t="s">
        <v>7</v>
      </c>
      <c r="D22" s="11">
        <v>280483.14999999997</v>
      </c>
      <c r="E22" s="11">
        <v>5951.5018390625019</v>
      </c>
      <c r="F22" s="11"/>
      <c r="G22" s="11">
        <f t="shared" si="3"/>
        <v>5951.5018390625019</v>
      </c>
      <c r="H22" s="23">
        <v>47.128129602356388</v>
      </c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11" t="s">
        <v>2</v>
      </c>
      <c r="T22" s="11"/>
      <c r="U22" s="20">
        <v>60.1</v>
      </c>
      <c r="V22" s="12"/>
      <c r="W22" s="12"/>
      <c r="X22" s="12"/>
      <c r="Y22" s="12"/>
      <c r="Z22" s="12"/>
      <c r="AA22" s="11"/>
      <c r="AB22" s="45">
        <f xml:space="preserve"> E22 * U22</f>
        <v>357685.26052765636</v>
      </c>
      <c r="AC22" s="45"/>
      <c r="AD22" s="45"/>
      <c r="AE22" s="45"/>
      <c r="AF22" s="45"/>
      <c r="AG22" s="45"/>
      <c r="AH22" s="44">
        <f>SUM(AB22:AG22) * (1 + $AQ$8)</f>
        <v>370065.20830949751</v>
      </c>
      <c r="AI22" s="36"/>
      <c r="AJ22" s="36"/>
      <c r="AK22" s="95"/>
      <c r="AL22" s="95"/>
      <c r="AM22" s="44"/>
    </row>
    <row r="23" spans="1:42" ht="15" hidden="1" outlineLevel="1" x14ac:dyDescent="0.35">
      <c r="A23" s="8"/>
      <c r="B23" s="9"/>
      <c r="C23" s="9" t="s">
        <v>8</v>
      </c>
      <c r="D23" s="11">
        <v>1028228.78</v>
      </c>
      <c r="E23" s="11">
        <v>21817.729425625326</v>
      </c>
      <c r="F23" s="11"/>
      <c r="G23" s="11">
        <f t="shared" si="3"/>
        <v>21817.729425625326</v>
      </c>
      <c r="H23" s="23">
        <v>47.128129602355706</v>
      </c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11" t="s">
        <v>2</v>
      </c>
      <c r="T23" s="11"/>
      <c r="U23" s="20">
        <v>50.88</v>
      </c>
      <c r="V23" s="12"/>
      <c r="W23" s="12"/>
      <c r="X23" s="12"/>
      <c r="Y23" s="12"/>
      <c r="Z23" s="12"/>
      <c r="AA23" s="11"/>
      <c r="AB23" s="45">
        <f xml:space="preserve"> E23 * U23</f>
        <v>1110086.0731758166</v>
      </c>
      <c r="AC23" s="45"/>
      <c r="AD23" s="45"/>
      <c r="AE23" s="45"/>
      <c r="AF23" s="45"/>
      <c r="AG23" s="45"/>
      <c r="AH23" s="44">
        <f>SUM(AB23:AG23) * (1 + $AQ$8)</f>
        <v>1148507.5826307836</v>
      </c>
      <c r="AI23" s="36"/>
      <c r="AJ23" s="36"/>
      <c r="AK23" s="95"/>
      <c r="AL23" s="95"/>
      <c r="AM23" s="44"/>
    </row>
    <row r="24" spans="1:42" ht="15" hidden="1" outlineLevel="1" x14ac:dyDescent="0.35">
      <c r="A24" s="8"/>
      <c r="B24" s="9"/>
      <c r="C24" s="9" t="s">
        <v>10</v>
      </c>
      <c r="D24" s="11">
        <v>113850.02</v>
      </c>
      <c r="E24" s="11">
        <v>2216.1291118749987</v>
      </c>
      <c r="F24" s="11"/>
      <c r="G24" s="11">
        <f t="shared" si="3"/>
        <v>2216.1291118749987</v>
      </c>
      <c r="H24" s="23">
        <v>51.373369624513892</v>
      </c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11" t="s">
        <v>2</v>
      </c>
      <c r="T24" s="11"/>
      <c r="U24" s="20">
        <v>67.08</v>
      </c>
      <c r="V24" s="12"/>
      <c r="W24" s="12"/>
      <c r="X24" s="12"/>
      <c r="Y24" s="12"/>
      <c r="Z24" s="12"/>
      <c r="AA24" s="11"/>
      <c r="AB24" s="45">
        <f xml:space="preserve"> E24 * U24</f>
        <v>148657.94082457491</v>
      </c>
      <c r="AC24" s="45"/>
      <c r="AD24" s="45"/>
      <c r="AE24" s="45"/>
      <c r="AF24" s="45"/>
      <c r="AG24" s="45"/>
      <c r="AH24" s="44">
        <f>SUM(AB24:AG24) * (1 + $AQ$8)</f>
        <v>153803.18371786425</v>
      </c>
      <c r="AI24" s="36"/>
      <c r="AJ24" s="36"/>
      <c r="AK24" s="95"/>
      <c r="AL24" s="95"/>
      <c r="AM24" s="44"/>
    </row>
    <row r="25" spans="1:42" ht="15" hidden="1" outlineLevel="1" x14ac:dyDescent="0.35">
      <c r="A25" s="8"/>
      <c r="B25" s="9"/>
      <c r="C25" s="9" t="s">
        <v>9</v>
      </c>
      <c r="D25" s="11">
        <v>1011118.91</v>
      </c>
      <c r="E25" s="11">
        <v>21454.679371562455</v>
      </c>
      <c r="F25" s="11"/>
      <c r="G25" s="11">
        <f t="shared" si="3"/>
        <v>21454.679371562455</v>
      </c>
      <c r="H25" s="23">
        <v>47.128129602356509</v>
      </c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11" t="s">
        <v>2</v>
      </c>
      <c r="T25" s="11"/>
      <c r="U25" s="20">
        <v>60.1</v>
      </c>
      <c r="V25" s="12"/>
      <c r="W25" s="12"/>
      <c r="X25" s="12"/>
      <c r="Y25" s="12"/>
      <c r="Z25" s="12"/>
      <c r="AA25" s="11"/>
      <c r="AB25" s="45">
        <f xml:space="preserve"> E25 * U25</f>
        <v>1289426.2302309035</v>
      </c>
      <c r="AC25" s="45"/>
      <c r="AD25" s="45"/>
      <c r="AE25" s="45"/>
      <c r="AF25" s="45"/>
      <c r="AG25" s="45"/>
      <c r="AH25" s="44">
        <f>SUM(AB25:AG25) * (1 + $AQ$8)</f>
        <v>1334054.9336201521</v>
      </c>
      <c r="AI25" s="36"/>
      <c r="AJ25" s="36"/>
      <c r="AK25" s="95"/>
      <c r="AL25" s="95"/>
      <c r="AM25" s="44"/>
    </row>
    <row r="26" spans="1:42" ht="15" hidden="1" outlineLevel="1" x14ac:dyDescent="0.35">
      <c r="A26" s="8"/>
      <c r="B26" s="9"/>
      <c r="C26" s="9" t="s">
        <v>11</v>
      </c>
      <c r="D26" s="11">
        <v>902799.01</v>
      </c>
      <c r="E26" s="11">
        <v>19156.266493437583</v>
      </c>
      <c r="F26" s="11"/>
      <c r="G26" s="11">
        <f t="shared" si="3"/>
        <v>19156.266493437583</v>
      </c>
      <c r="H26" s="23">
        <v>47.128129602356204</v>
      </c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11" t="s">
        <v>2</v>
      </c>
      <c r="T26" s="11"/>
      <c r="U26" s="20">
        <v>49.9</v>
      </c>
      <c r="V26" s="12"/>
      <c r="W26" s="12"/>
      <c r="X26" s="12"/>
      <c r="Y26" s="12"/>
      <c r="Z26" s="12"/>
      <c r="AA26" s="11"/>
      <c r="AB26" s="45">
        <f xml:space="preserve"> E26 * U26</f>
        <v>955897.6980225353</v>
      </c>
      <c r="AC26" s="45"/>
      <c r="AD26" s="45"/>
      <c r="AE26" s="45"/>
      <c r="AF26" s="45"/>
      <c r="AG26" s="45"/>
      <c r="AH26" s="44">
        <f>SUM(AB26:AG26) * (1 + $AQ$8)</f>
        <v>988982.54912555171</v>
      </c>
      <c r="AI26" s="36"/>
      <c r="AJ26" s="36"/>
      <c r="AK26" s="95"/>
      <c r="AL26" s="95"/>
      <c r="AM26" s="44"/>
    </row>
    <row r="27" spans="1:42" ht="4.95" customHeight="1" collapsed="1" x14ac:dyDescent="0.35">
      <c r="A27" s="8"/>
      <c r="B27" s="10"/>
      <c r="C27" s="10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45"/>
      <c r="AC27" s="45"/>
      <c r="AD27" s="45"/>
      <c r="AE27" s="45"/>
      <c r="AF27" s="45"/>
      <c r="AG27" s="45"/>
      <c r="AH27" s="44"/>
      <c r="AI27" s="36"/>
      <c r="AJ27" s="36"/>
      <c r="AK27" s="11"/>
      <c r="AL27" s="11"/>
      <c r="AM27" s="44"/>
    </row>
    <row r="28" spans="1:42" s="52" customFormat="1" ht="15" x14ac:dyDescent="0.35">
      <c r="A28" s="46" t="s">
        <v>30</v>
      </c>
      <c r="B28" s="74" t="s">
        <v>17</v>
      </c>
      <c r="C28" s="47"/>
      <c r="D28" s="48">
        <v>4786577.2100000009</v>
      </c>
      <c r="E28" s="48">
        <v>73200.13345923333</v>
      </c>
      <c r="F28" s="48"/>
      <c r="G28" s="48">
        <f t="shared" ref="G28:G33" si="5" xml:space="preserve"> E28</f>
        <v>73200.13345923333</v>
      </c>
      <c r="H28" s="48">
        <v>65.390279823270333</v>
      </c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8" t="s">
        <v>2</v>
      </c>
      <c r="T28" s="48"/>
      <c r="U28" s="48"/>
      <c r="V28" s="48"/>
      <c r="W28" s="48"/>
      <c r="X28" s="48"/>
      <c r="Y28" s="48"/>
      <c r="Z28" s="48"/>
      <c r="AA28" s="48"/>
      <c r="AB28" s="50">
        <f t="shared" ref="AB28:AG28" si="6">SUM(AB29:AB33)</f>
        <v>4300548.828984946</v>
      </c>
      <c r="AC28" s="50">
        <f t="shared" si="6"/>
        <v>0</v>
      </c>
      <c r="AD28" s="50">
        <f t="shared" si="6"/>
        <v>0</v>
      </c>
      <c r="AE28" s="50">
        <f t="shared" si="6"/>
        <v>0</v>
      </c>
      <c r="AF28" s="50">
        <f t="shared" si="6"/>
        <v>0</v>
      </c>
      <c r="AG28" s="50">
        <f t="shared" si="6"/>
        <v>0</v>
      </c>
      <c r="AH28" s="51">
        <f>SUM(AB28:AG28) * (1 + $AQ$8)</f>
        <v>4449396.3656644039</v>
      </c>
      <c r="AI28" s="57">
        <f xml:space="preserve"> IF( AH28 &lt;&gt; 0, AH28- D28, 0)</f>
        <v>-337180.84433559701</v>
      </c>
      <c r="AJ28" s="58">
        <f xml:space="preserve"> AI28 / D28</f>
        <v>-7.0442997060857382E-2</v>
      </c>
      <c r="AK28" s="96">
        <f xml:space="preserve"> 100% * (1 + $AK$6) * (1 + $AK$7)</f>
        <v>1.0624506299999998</v>
      </c>
      <c r="AL28" s="96">
        <f xml:space="preserve"> 100% * (1 + $AL$6) * (1 + $AL$7)</f>
        <v>1.07985424</v>
      </c>
      <c r="AM28" s="51">
        <f xml:space="preserve"> (SUM( AB28, AF28) * AK28 * (1 + $AQ$8)) + (SUM( AC28:AE28, AG28) * AL28 * (1 + $AQ$8))</f>
        <v>4727263.9718198553</v>
      </c>
      <c r="AN28" s="57">
        <f xml:space="preserve"> AM28 - AH28</f>
        <v>277867.60615545139</v>
      </c>
      <c r="AO28" s="58">
        <f xml:space="preserve"> (AM28 - AH28) / AH28</f>
        <v>6.2450629999999771E-2</v>
      </c>
      <c r="AP28" s="53"/>
    </row>
    <row r="29" spans="1:42" ht="15" hidden="1" outlineLevel="1" x14ac:dyDescent="0.35">
      <c r="A29" s="8"/>
      <c r="B29" s="9"/>
      <c r="C29" s="9" t="s">
        <v>7</v>
      </c>
      <c r="D29" s="11">
        <v>2379369.6999999997</v>
      </c>
      <c r="E29" s="11">
        <v>36387.207799549491</v>
      </c>
      <c r="F29" s="11"/>
      <c r="G29" s="11">
        <f t="shared" si="5"/>
        <v>36387.207799549491</v>
      </c>
      <c r="H29" s="23">
        <v>65.390279823269609</v>
      </c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11" t="s">
        <v>2</v>
      </c>
      <c r="T29" s="11"/>
      <c r="U29" s="20">
        <v>60.1</v>
      </c>
      <c r="V29" s="12"/>
      <c r="W29" s="12"/>
      <c r="X29" s="12"/>
      <c r="Y29" s="12"/>
      <c r="Z29" s="12"/>
      <c r="AA29" s="11"/>
      <c r="AB29" s="45">
        <f xml:space="preserve"> E29 * U29</f>
        <v>2186871.1887529246</v>
      </c>
      <c r="AC29" s="45"/>
      <c r="AD29" s="45"/>
      <c r="AE29" s="45"/>
      <c r="AF29" s="45"/>
      <c r="AG29" s="45"/>
      <c r="AH29" s="44">
        <f>SUM(AB29:AG29) * (1 + $AQ$8)</f>
        <v>2262561.6186085902</v>
      </c>
      <c r="AI29" s="36"/>
      <c r="AJ29" s="36"/>
      <c r="AK29" s="95"/>
      <c r="AL29" s="95"/>
      <c r="AM29" s="44"/>
    </row>
    <row r="30" spans="1:42" ht="15" hidden="1" outlineLevel="1" x14ac:dyDescent="0.35">
      <c r="A30" s="8"/>
      <c r="B30" s="9"/>
      <c r="C30" s="9" t="s">
        <v>8</v>
      </c>
      <c r="D30" s="11">
        <v>896389.26</v>
      </c>
      <c r="E30" s="11">
        <v>14540.062627728023</v>
      </c>
      <c r="F30" s="11"/>
      <c r="G30" s="11">
        <f t="shared" si="5"/>
        <v>14540.062627728023</v>
      </c>
      <c r="H30" s="23">
        <v>61.649614788493281</v>
      </c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11" t="s">
        <v>2</v>
      </c>
      <c r="T30" s="11"/>
      <c r="U30" s="20">
        <v>50.88</v>
      </c>
      <c r="V30" s="12"/>
      <c r="W30" s="12"/>
      <c r="X30" s="12"/>
      <c r="Y30" s="12"/>
      <c r="Z30" s="12"/>
      <c r="AA30" s="11"/>
      <c r="AB30" s="45">
        <f xml:space="preserve"> E30 * U30</f>
        <v>739798.38649880188</v>
      </c>
      <c r="AC30" s="45"/>
      <c r="AD30" s="45"/>
      <c r="AE30" s="45"/>
      <c r="AF30" s="45"/>
      <c r="AG30" s="45"/>
      <c r="AH30" s="44">
        <f>SUM(AB30:AG30) * (1 + $AQ$8)</f>
        <v>765403.76196335035</v>
      </c>
      <c r="AI30" s="36"/>
      <c r="AJ30" s="36"/>
      <c r="AK30" s="95"/>
      <c r="AL30" s="95"/>
      <c r="AM30" s="44"/>
    </row>
    <row r="31" spans="1:42" ht="15" hidden="1" outlineLevel="1" x14ac:dyDescent="0.35">
      <c r="A31" s="8"/>
      <c r="B31" s="9"/>
      <c r="C31" s="9" t="s">
        <v>10</v>
      </c>
      <c r="D31" s="11">
        <v>611642.78</v>
      </c>
      <c r="E31" s="11">
        <v>8932.4147499999999</v>
      </c>
      <c r="F31" s="11"/>
      <c r="G31" s="11">
        <f t="shared" si="5"/>
        <v>8932.4147499999999</v>
      </c>
      <c r="H31" s="23">
        <v>68.474516367480589</v>
      </c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11" t="s">
        <v>2</v>
      </c>
      <c r="T31" s="11"/>
      <c r="U31" s="20">
        <v>67.08</v>
      </c>
      <c r="V31" s="12"/>
      <c r="W31" s="12"/>
      <c r="X31" s="12"/>
      <c r="Y31" s="12"/>
      <c r="Z31" s="12"/>
      <c r="AA31" s="11"/>
      <c r="AB31" s="45">
        <f xml:space="preserve"> E31 * U31</f>
        <v>599186.38142999995</v>
      </c>
      <c r="AC31" s="45"/>
      <c r="AD31" s="45"/>
      <c r="AE31" s="45"/>
      <c r="AF31" s="45"/>
      <c r="AG31" s="45"/>
      <c r="AH31" s="44">
        <f>SUM(AB31:AG31) * (1 + $AQ$8)</f>
        <v>619924.99420579872</v>
      </c>
      <c r="AI31" s="36"/>
      <c r="AJ31" s="36"/>
      <c r="AK31" s="95"/>
      <c r="AL31" s="95"/>
      <c r="AM31" s="44"/>
    </row>
    <row r="32" spans="1:42" ht="15" hidden="1" outlineLevel="1" x14ac:dyDescent="0.35">
      <c r="A32" s="8"/>
      <c r="B32" s="9"/>
      <c r="C32" s="9" t="s">
        <v>9</v>
      </c>
      <c r="D32" s="11">
        <v>567502.72</v>
      </c>
      <c r="E32" s="11">
        <v>8678.7015063062863</v>
      </c>
      <c r="F32" s="11"/>
      <c r="G32" s="11">
        <f t="shared" si="5"/>
        <v>8678.7015063062863</v>
      </c>
      <c r="H32" s="23">
        <v>65.390279823269665</v>
      </c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11" t="s">
        <v>2</v>
      </c>
      <c r="T32" s="11"/>
      <c r="U32" s="20">
        <v>60.1</v>
      </c>
      <c r="V32" s="12"/>
      <c r="W32" s="12"/>
      <c r="X32" s="12"/>
      <c r="Y32" s="12"/>
      <c r="Z32" s="12"/>
      <c r="AA32" s="11"/>
      <c r="AB32" s="45">
        <f xml:space="preserve"> E32 * U32</f>
        <v>521589.96052900783</v>
      </c>
      <c r="AC32" s="45"/>
      <c r="AD32" s="45"/>
      <c r="AE32" s="45"/>
      <c r="AF32" s="45"/>
      <c r="AG32" s="45"/>
      <c r="AH32" s="44">
        <f>SUM(AB32:AG32) * (1 + $AQ$8)</f>
        <v>539642.86118629505</v>
      </c>
      <c r="AI32" s="36"/>
      <c r="AJ32" s="36"/>
      <c r="AK32" s="95"/>
      <c r="AL32" s="95"/>
      <c r="AM32" s="44"/>
    </row>
    <row r="33" spans="1:42" ht="15" hidden="1" outlineLevel="1" x14ac:dyDescent="0.35">
      <c r="A33" s="8"/>
      <c r="B33" s="9"/>
      <c r="C33" s="9" t="s">
        <v>11</v>
      </c>
      <c r="D33" s="11">
        <v>331672.75</v>
      </c>
      <c r="E33" s="11">
        <v>5072.2026407657631</v>
      </c>
      <c r="F33" s="11"/>
      <c r="G33" s="11">
        <f t="shared" si="5"/>
        <v>5072.2026407657631</v>
      </c>
      <c r="H33" s="23">
        <v>65.390279823269552</v>
      </c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11" t="s">
        <v>2</v>
      </c>
      <c r="T33" s="11"/>
      <c r="U33" s="20">
        <v>49.9</v>
      </c>
      <c r="V33" s="12"/>
      <c r="W33" s="12"/>
      <c r="X33" s="12"/>
      <c r="Y33" s="12"/>
      <c r="Z33" s="12"/>
      <c r="AA33" s="11"/>
      <c r="AB33" s="45">
        <f xml:space="preserve"> E33 * U33</f>
        <v>253102.91177421156</v>
      </c>
      <c r="AC33" s="45"/>
      <c r="AD33" s="45"/>
      <c r="AE33" s="45"/>
      <c r="AF33" s="45"/>
      <c r="AG33" s="45"/>
      <c r="AH33" s="44">
        <f>SUM(AB33:AG33) * (1 + $AQ$8)</f>
        <v>261863.12970036906</v>
      </c>
      <c r="AI33" s="36"/>
      <c r="AJ33" s="36"/>
      <c r="AK33" s="95"/>
      <c r="AL33" s="95"/>
      <c r="AM33" s="44"/>
    </row>
    <row r="34" spans="1:42" ht="4.95" customHeight="1" collapsed="1" x14ac:dyDescent="0.35">
      <c r="A34" s="8"/>
      <c r="B34" s="10"/>
      <c r="C34" s="10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45"/>
      <c r="AC34" s="45"/>
      <c r="AD34" s="45"/>
      <c r="AE34" s="45"/>
      <c r="AF34" s="45"/>
      <c r="AG34" s="45"/>
      <c r="AH34" s="44"/>
      <c r="AI34" s="59"/>
      <c r="AJ34" s="36"/>
      <c r="AK34" s="11"/>
      <c r="AL34" s="11"/>
      <c r="AM34" s="44"/>
    </row>
    <row r="35" spans="1:42" s="52" customFormat="1" ht="15" x14ac:dyDescent="0.35">
      <c r="A35" s="46" t="s">
        <v>30</v>
      </c>
      <c r="B35" s="74" t="s">
        <v>18</v>
      </c>
      <c r="C35" s="47"/>
      <c r="D35" s="48">
        <v>1528265.74</v>
      </c>
      <c r="E35" s="48">
        <v>53800.813801842203</v>
      </c>
      <c r="F35" s="48"/>
      <c r="G35" s="48">
        <f t="shared" ref="G35:G40" si="7" xml:space="preserve"> E35</f>
        <v>53800.813801842203</v>
      </c>
      <c r="H35" s="54">
        <v>28.405996712779658</v>
      </c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8" t="s">
        <v>4</v>
      </c>
      <c r="T35" s="48"/>
      <c r="U35" s="48"/>
      <c r="V35" s="48"/>
      <c r="W35" s="48"/>
      <c r="X35" s="48"/>
      <c r="Y35" s="48"/>
      <c r="Z35" s="48"/>
      <c r="AA35" s="48"/>
      <c r="AB35" s="50">
        <f t="shared" ref="AB35:AG35" si="8">SUM(AB36:AB40)</f>
        <v>0</v>
      </c>
      <c r="AC35" s="50">
        <f t="shared" si="8"/>
        <v>1716459.6188965754</v>
      </c>
      <c r="AD35" s="50">
        <f t="shared" si="8"/>
        <v>0</v>
      </c>
      <c r="AE35" s="50">
        <f t="shared" si="8"/>
        <v>0</v>
      </c>
      <c r="AF35" s="50">
        <f t="shared" si="8"/>
        <v>0</v>
      </c>
      <c r="AG35" s="50">
        <f t="shared" si="8"/>
        <v>0</v>
      </c>
      <c r="AH35" s="51">
        <f>SUM(AB35:AG35) * (1 + $AQ$8)</f>
        <v>1775868.4981448594</v>
      </c>
      <c r="AI35" s="57">
        <f xml:space="preserve"> IF( AH35 &lt;&gt; 0, AH35- D35, 0)</f>
        <v>247602.75814485946</v>
      </c>
      <c r="AJ35" s="58">
        <f xml:space="preserve"> AI35 / D35</f>
        <v>0.16201551318219007</v>
      </c>
      <c r="AK35" s="96">
        <f xml:space="preserve"> 100% * (1 + $AK$6) * (1 + $AK$7)</f>
        <v>1.0624506299999998</v>
      </c>
      <c r="AL35" s="96">
        <f xml:space="preserve"> 100% * (1 + $AL$6) * (1 + $AL$7)</f>
        <v>1.07985424</v>
      </c>
      <c r="AM35" s="51">
        <f xml:space="preserve"> (SUM( AB35, AF35) * AK35 * (1 + $AQ$8)) + (SUM( AC35:AE35, AG35) * AL35 * (1 + $AQ$8))</f>
        <v>1917679.1274041585</v>
      </c>
      <c r="AN35" s="57">
        <f xml:space="preserve"> AM35 - AH35</f>
        <v>141810.62925929902</v>
      </c>
      <c r="AO35" s="58">
        <f xml:space="preserve"> (AM35 - AH35) / AH35</f>
        <v>7.9854239999999924E-2</v>
      </c>
      <c r="AP35" s="53"/>
    </row>
    <row r="36" spans="1:42" ht="15" hidden="1" outlineLevel="1" x14ac:dyDescent="0.35">
      <c r="A36" s="8"/>
      <c r="B36" s="9"/>
      <c r="C36" s="9" t="s">
        <v>7</v>
      </c>
      <c r="D36" s="11">
        <v>455740.04</v>
      </c>
      <c r="E36" s="11">
        <v>15817.901382260727</v>
      </c>
      <c r="F36" s="11"/>
      <c r="G36" s="11">
        <f t="shared" si="7"/>
        <v>15817.901382260727</v>
      </c>
      <c r="H36" s="23">
        <v>28.811662747568899</v>
      </c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11" t="s">
        <v>4</v>
      </c>
      <c r="T36" s="11"/>
      <c r="U36" s="20"/>
      <c r="V36" s="20">
        <v>34.04</v>
      </c>
      <c r="W36" s="12"/>
      <c r="X36" s="12"/>
      <c r="Y36" s="12"/>
      <c r="Z36" s="12"/>
      <c r="AA36" s="11"/>
      <c r="AB36" s="45"/>
      <c r="AC36" s="45">
        <f xml:space="preserve"> E36 * V36</f>
        <v>538441.36305215512</v>
      </c>
      <c r="AD36" s="45"/>
      <c r="AE36" s="45"/>
      <c r="AF36" s="45"/>
      <c r="AG36" s="45"/>
      <c r="AH36" s="44">
        <f>SUM(AB36:AG36) * (1 + $AQ$8)</f>
        <v>557077.51246556838</v>
      </c>
      <c r="AI36" s="36"/>
      <c r="AJ36" s="36"/>
      <c r="AK36" s="95"/>
      <c r="AL36" s="95"/>
      <c r="AM36" s="44"/>
    </row>
    <row r="37" spans="1:42" ht="15" hidden="1" outlineLevel="1" x14ac:dyDescent="0.35">
      <c r="A37" s="8"/>
      <c r="B37" s="9"/>
      <c r="C37" s="9" t="s">
        <v>8</v>
      </c>
      <c r="D37" s="11">
        <v>351143.38</v>
      </c>
      <c r="E37" s="11">
        <v>12380.702185602575</v>
      </c>
      <c r="F37" s="11"/>
      <c r="G37" s="11">
        <f t="shared" si="7"/>
        <v>12380.702185602575</v>
      </c>
      <c r="H37" s="23">
        <v>28.362153837150043</v>
      </c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11" t="s">
        <v>4</v>
      </c>
      <c r="T37" s="11"/>
      <c r="U37" s="20"/>
      <c r="V37" s="20">
        <v>32.64</v>
      </c>
      <c r="W37" s="12"/>
      <c r="X37" s="12"/>
      <c r="Y37" s="12"/>
      <c r="Z37" s="12"/>
      <c r="AA37" s="11"/>
      <c r="AB37" s="45"/>
      <c r="AC37" s="45">
        <f xml:space="preserve"> E37 * V37</f>
        <v>404106.11933806806</v>
      </c>
      <c r="AD37" s="45"/>
      <c r="AE37" s="45"/>
      <c r="AF37" s="45"/>
      <c r="AG37" s="45"/>
      <c r="AH37" s="44">
        <f>SUM(AB37:AG37) * (1 + $AQ$8)</f>
        <v>418092.7528614836</v>
      </c>
      <c r="AI37" s="36"/>
      <c r="AJ37" s="36"/>
      <c r="AK37" s="95"/>
      <c r="AL37" s="95"/>
      <c r="AM37" s="44"/>
    </row>
    <row r="38" spans="1:42" ht="15" hidden="1" outlineLevel="1" x14ac:dyDescent="0.35">
      <c r="A38" s="8"/>
      <c r="B38" s="9"/>
      <c r="C38" s="9" t="s">
        <v>10</v>
      </c>
      <c r="D38" s="11">
        <v>28223.200000000001</v>
      </c>
      <c r="E38" s="11">
        <v>545.56173913043472</v>
      </c>
      <c r="F38" s="11"/>
      <c r="G38" s="11">
        <f t="shared" si="7"/>
        <v>545.56173913043472</v>
      </c>
      <c r="H38" s="23">
        <v>51.73236679864074</v>
      </c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11" t="s">
        <v>4</v>
      </c>
      <c r="T38" s="11"/>
      <c r="U38" s="12"/>
      <c r="V38" s="20">
        <v>34.04</v>
      </c>
      <c r="W38" s="12"/>
      <c r="X38" s="12"/>
      <c r="Y38" s="12"/>
      <c r="Z38" s="12"/>
      <c r="AA38" s="11"/>
      <c r="AB38" s="45"/>
      <c r="AC38" s="45">
        <f xml:space="preserve"> E38 * V38</f>
        <v>18570.921599999998</v>
      </c>
      <c r="AD38" s="45"/>
      <c r="AE38" s="45"/>
      <c r="AF38" s="45"/>
      <c r="AG38" s="45"/>
      <c r="AH38" s="44">
        <f>SUM(AB38:AG38) * (1 + $AQ$8)</f>
        <v>19213.685127156547</v>
      </c>
      <c r="AI38" s="36"/>
      <c r="AJ38" s="36"/>
      <c r="AK38" s="95"/>
      <c r="AL38" s="95"/>
      <c r="AM38" s="44"/>
    </row>
    <row r="39" spans="1:42" ht="15" hidden="1" outlineLevel="1" x14ac:dyDescent="0.35">
      <c r="A39" s="8"/>
      <c r="B39" s="9"/>
      <c r="C39" s="9" t="s">
        <v>9</v>
      </c>
      <c r="D39" s="11">
        <v>61597.32</v>
      </c>
      <c r="E39" s="11">
        <v>2202.425109915062</v>
      </c>
      <c r="F39" s="11"/>
      <c r="G39" s="11">
        <f t="shared" si="7"/>
        <v>2202.425109915062</v>
      </c>
      <c r="H39" s="23">
        <v>27.967952110015464</v>
      </c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11" t="s">
        <v>4</v>
      </c>
      <c r="T39" s="11"/>
      <c r="U39" s="20"/>
      <c r="V39" s="20">
        <v>34.04</v>
      </c>
      <c r="W39" s="12"/>
      <c r="X39" s="12"/>
      <c r="Y39" s="12"/>
      <c r="Z39" s="12"/>
      <c r="AA39" s="11"/>
      <c r="AB39" s="45"/>
      <c r="AC39" s="45">
        <f xml:space="preserve"> E39 * V39</f>
        <v>74970.550741508705</v>
      </c>
      <c r="AD39" s="45"/>
      <c r="AE39" s="45"/>
      <c r="AF39" s="45"/>
      <c r="AG39" s="45"/>
      <c r="AH39" s="44">
        <f>SUM(AB39:AG39) * (1 + $AQ$8)</f>
        <v>77565.378110091275</v>
      </c>
      <c r="AI39" s="36"/>
      <c r="AJ39" s="36"/>
      <c r="AK39" s="95"/>
      <c r="AL39" s="95"/>
      <c r="AM39" s="44"/>
    </row>
    <row r="40" spans="1:42" ht="15" hidden="1" outlineLevel="1" x14ac:dyDescent="0.35">
      <c r="A40" s="8"/>
      <c r="B40" s="9"/>
      <c r="C40" s="9" t="s">
        <v>11</v>
      </c>
      <c r="D40" s="11">
        <v>631561.80000000005</v>
      </c>
      <c r="E40" s="11">
        <v>22299.923440342296</v>
      </c>
      <c r="F40" s="11"/>
      <c r="G40" s="11">
        <f t="shared" si="7"/>
        <v>22299.923440342296</v>
      </c>
      <c r="H40" s="23">
        <v>28.321254182310582</v>
      </c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11" t="s">
        <v>4</v>
      </c>
      <c r="T40" s="11"/>
      <c r="U40" s="12"/>
      <c r="V40" s="20">
        <v>30.51</v>
      </c>
      <c r="W40" s="12"/>
      <c r="X40" s="12"/>
      <c r="Y40" s="12"/>
      <c r="Z40" s="12"/>
      <c r="AA40" s="11"/>
      <c r="AB40" s="45"/>
      <c r="AC40" s="45">
        <f xml:space="preserve"> E40 * V40</f>
        <v>680370.6641648435</v>
      </c>
      <c r="AD40" s="45"/>
      <c r="AE40" s="45"/>
      <c r="AF40" s="45"/>
      <c r="AG40" s="45"/>
      <c r="AH40" s="44">
        <f>SUM(AB40:AG40) * (1 + $AQ$8)</f>
        <v>703919.1695805596</v>
      </c>
      <c r="AI40" s="36"/>
      <c r="AJ40" s="36"/>
      <c r="AK40" s="95"/>
      <c r="AL40" s="95"/>
      <c r="AM40" s="44"/>
    </row>
    <row r="41" spans="1:42" ht="4.95" customHeight="1" collapsed="1" x14ac:dyDescent="0.35">
      <c r="A41" s="8"/>
      <c r="B41" s="10"/>
      <c r="C41" s="10"/>
      <c r="D41" s="11"/>
      <c r="E41" s="11"/>
      <c r="F41" s="11"/>
      <c r="G41" s="11"/>
      <c r="H41" s="23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45"/>
      <c r="AC41" s="45"/>
      <c r="AD41" s="45"/>
      <c r="AE41" s="45"/>
      <c r="AF41" s="45"/>
      <c r="AG41" s="45"/>
      <c r="AH41" s="44"/>
      <c r="AI41" s="36"/>
      <c r="AJ41" s="36"/>
      <c r="AK41" s="11"/>
      <c r="AL41" s="11"/>
      <c r="AM41" s="44"/>
    </row>
    <row r="42" spans="1:42" s="52" customFormat="1" ht="15" x14ac:dyDescent="0.35">
      <c r="A42" s="46" t="s">
        <v>30</v>
      </c>
      <c r="B42" s="74" t="s">
        <v>19</v>
      </c>
      <c r="C42" s="47"/>
      <c r="D42" s="48">
        <v>1600363.43</v>
      </c>
      <c r="E42" s="48">
        <v>34265.579252593583</v>
      </c>
      <c r="F42" s="48"/>
      <c r="G42" s="48">
        <f t="shared" ref="G42:G47" si="9" xml:space="preserve"> E42</f>
        <v>34265.579252593583</v>
      </c>
      <c r="H42" s="54">
        <v>46.704695058638691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8" t="s">
        <v>4</v>
      </c>
      <c r="T42" s="48"/>
      <c r="U42" s="48"/>
      <c r="V42" s="48"/>
      <c r="W42" s="48"/>
      <c r="X42" s="48"/>
      <c r="Y42" s="48"/>
      <c r="Z42" s="48"/>
      <c r="AA42" s="48"/>
      <c r="AB42" s="50">
        <f t="shared" ref="AB42:AG42" si="10">SUM(AB43:AB47)</f>
        <v>0</v>
      </c>
      <c r="AC42" s="50">
        <f t="shared" si="10"/>
        <v>1573823.0259926966</v>
      </c>
      <c r="AD42" s="50">
        <f t="shared" si="10"/>
        <v>0</v>
      </c>
      <c r="AE42" s="50">
        <f t="shared" si="10"/>
        <v>0</v>
      </c>
      <c r="AF42" s="50">
        <f t="shared" si="10"/>
        <v>0</v>
      </c>
      <c r="AG42" s="50">
        <f t="shared" si="10"/>
        <v>0</v>
      </c>
      <c r="AH42" s="51">
        <f>SUM(AB42:AG42) * (1 + $AQ$8)</f>
        <v>1628295.0689583651</v>
      </c>
      <c r="AI42" s="57">
        <f xml:space="preserve"> IF( AH42 &lt;&gt; 0, AH42- D42, 0)</f>
        <v>27931.638958365191</v>
      </c>
      <c r="AJ42" s="58">
        <f xml:space="preserve"> AI42 / D42</f>
        <v>1.7453309938708854E-2</v>
      </c>
      <c r="AK42" s="96">
        <f xml:space="preserve"> 100% * (1 + $AK$6) * (1 + $AK$7)</f>
        <v>1.0624506299999998</v>
      </c>
      <c r="AL42" s="96">
        <f xml:space="preserve"> 100% * (1 + $AL$6) * (1 + $AL$7)</f>
        <v>1.07985424</v>
      </c>
      <c r="AM42" s="51">
        <f xml:space="preserve"> (SUM( AB42, AF42) * AK42 * (1 + $AQ$8)) + (SUM( AC42:AE42, AG42) * AL42 * (1 + $AQ$8))</f>
        <v>1758321.3341857828</v>
      </c>
      <c r="AN42" s="57">
        <f xml:space="preserve"> AM42 - AH42</f>
        <v>130026.26522741769</v>
      </c>
      <c r="AO42" s="58">
        <f xml:space="preserve"> (AM42 - AH42) / AH42</f>
        <v>7.985423999999991E-2</v>
      </c>
      <c r="AP42" s="53"/>
    </row>
    <row r="43" spans="1:42" ht="15" hidden="1" outlineLevel="1" x14ac:dyDescent="0.35">
      <c r="A43" s="8"/>
      <c r="B43" s="9"/>
      <c r="C43" s="9" t="s">
        <v>7</v>
      </c>
      <c r="D43" s="11">
        <v>142947.45000000001</v>
      </c>
      <c r="E43" s="11">
        <v>2909.2832629461136</v>
      </c>
      <c r="F43" s="11"/>
      <c r="G43" s="11">
        <f t="shared" si="9"/>
        <v>2909.2832629461136</v>
      </c>
      <c r="H43" s="23">
        <v>49.134937054992335</v>
      </c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11" t="s">
        <v>4</v>
      </c>
      <c r="T43" s="11"/>
      <c r="U43" s="20"/>
      <c r="V43" s="20">
        <v>49.04</v>
      </c>
      <c r="W43" s="12"/>
      <c r="X43" s="12"/>
      <c r="Y43" s="20"/>
      <c r="Z43" s="12"/>
      <c r="AA43" s="11"/>
      <c r="AB43" s="45"/>
      <c r="AC43" s="45">
        <f xml:space="preserve"> E43 * V43</f>
        <v>142671.25121487741</v>
      </c>
      <c r="AD43" s="45"/>
      <c r="AE43" s="45"/>
      <c r="AF43" s="45"/>
      <c r="AG43" s="45"/>
      <c r="AH43" s="44">
        <f>SUM(AB43:AG43) * (1 + $AQ$8)</f>
        <v>147609.28706629755</v>
      </c>
      <c r="AI43" s="36"/>
      <c r="AJ43" s="36"/>
      <c r="AK43" s="95"/>
      <c r="AL43" s="95"/>
      <c r="AM43" s="44"/>
    </row>
    <row r="44" spans="1:42" ht="15" hidden="1" outlineLevel="1" x14ac:dyDescent="0.35">
      <c r="A44" s="8"/>
      <c r="B44" s="9"/>
      <c r="C44" s="9" t="s">
        <v>8</v>
      </c>
      <c r="D44" s="11">
        <v>413782.5</v>
      </c>
      <c r="E44" s="11">
        <v>8975.4115324233844</v>
      </c>
      <c r="F44" s="11"/>
      <c r="G44" s="11">
        <f t="shared" si="9"/>
        <v>8975.4115324233844</v>
      </c>
      <c r="H44" s="23">
        <v>46.101785807282937</v>
      </c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11" t="s">
        <v>4</v>
      </c>
      <c r="T44" s="11"/>
      <c r="U44" s="20"/>
      <c r="V44" s="20">
        <v>47.27</v>
      </c>
      <c r="W44" s="12"/>
      <c r="X44" s="12"/>
      <c r="Y44" s="20"/>
      <c r="Z44" s="12"/>
      <c r="AA44" s="11"/>
      <c r="AB44" s="45"/>
      <c r="AC44" s="45">
        <f xml:space="preserve"> E44 * V44</f>
        <v>424267.70313765341</v>
      </c>
      <c r="AD44" s="45"/>
      <c r="AE44" s="45"/>
      <c r="AF44" s="45"/>
      <c r="AG44" s="45"/>
      <c r="AH44" s="44">
        <f>SUM(AB44:AG44) * (1 + $AQ$8)</f>
        <v>438952.15505668829</v>
      </c>
      <c r="AI44" s="36"/>
      <c r="AJ44" s="36"/>
      <c r="AK44" s="95"/>
      <c r="AL44" s="95"/>
      <c r="AM44" s="44"/>
    </row>
    <row r="45" spans="1:42" ht="15" hidden="1" outlineLevel="1" x14ac:dyDescent="0.35">
      <c r="A45" s="8"/>
      <c r="B45" s="9"/>
      <c r="C45" s="9" t="s">
        <v>10</v>
      </c>
      <c r="D45" s="11">
        <v>0</v>
      </c>
      <c r="E45" s="11">
        <v>0</v>
      </c>
      <c r="F45" s="11"/>
      <c r="G45" s="11">
        <f t="shared" si="9"/>
        <v>0</v>
      </c>
      <c r="H45" s="23">
        <v>0</v>
      </c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11" t="s">
        <v>4</v>
      </c>
      <c r="T45" s="11"/>
      <c r="U45" s="12"/>
      <c r="V45" s="20">
        <v>49.04</v>
      </c>
      <c r="W45" s="12"/>
      <c r="X45" s="12"/>
      <c r="Y45" s="12"/>
      <c r="Z45" s="12"/>
      <c r="AA45" s="11"/>
      <c r="AB45" s="45"/>
      <c r="AC45" s="45">
        <f xml:space="preserve"> E45 * V45</f>
        <v>0</v>
      </c>
      <c r="AD45" s="45"/>
      <c r="AE45" s="45"/>
      <c r="AF45" s="45"/>
      <c r="AG45" s="45"/>
      <c r="AH45" s="44">
        <f>SUM(AB45:AG45) * (1 + $AQ$8)</f>
        <v>0</v>
      </c>
      <c r="AI45" s="36"/>
      <c r="AJ45" s="36"/>
      <c r="AK45" s="95"/>
      <c r="AL45" s="95"/>
      <c r="AM45" s="44"/>
    </row>
    <row r="46" spans="1:42" ht="15" hidden="1" outlineLevel="1" x14ac:dyDescent="0.35">
      <c r="A46" s="8"/>
      <c r="B46" s="9"/>
      <c r="C46" s="9" t="s">
        <v>9</v>
      </c>
      <c r="D46" s="11">
        <v>159861.34</v>
      </c>
      <c r="E46" s="11">
        <v>2496.1252155347806</v>
      </c>
      <c r="F46" s="11"/>
      <c r="G46" s="11">
        <f t="shared" si="9"/>
        <v>2496.1252155347806</v>
      </c>
      <c r="H46" s="23">
        <v>64.043798366000885</v>
      </c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11" t="s">
        <v>4</v>
      </c>
      <c r="T46" s="11"/>
      <c r="U46" s="20"/>
      <c r="V46" s="20">
        <v>49.04</v>
      </c>
      <c r="W46" s="12"/>
      <c r="X46" s="12"/>
      <c r="Y46" s="20"/>
      <c r="Z46" s="12"/>
      <c r="AA46" s="11"/>
      <c r="AB46" s="45"/>
      <c r="AC46" s="45">
        <f xml:space="preserve"> E46 * V46</f>
        <v>122409.98056982564</v>
      </c>
      <c r="AD46" s="45"/>
      <c r="AE46" s="45"/>
      <c r="AF46" s="45"/>
      <c r="AG46" s="45"/>
      <c r="AH46" s="44">
        <f>SUM(AB46:AG46) * (1 + $AQ$8)</f>
        <v>126646.74773544793</v>
      </c>
      <c r="AI46" s="36"/>
      <c r="AJ46" s="36"/>
      <c r="AK46" s="95"/>
      <c r="AL46" s="95"/>
      <c r="AM46" s="44"/>
    </row>
    <row r="47" spans="1:42" ht="15" hidden="1" outlineLevel="1" x14ac:dyDescent="0.35">
      <c r="A47" s="8"/>
      <c r="B47" s="9"/>
      <c r="C47" s="9" t="s">
        <v>11</v>
      </c>
      <c r="D47" s="11">
        <v>883772.14</v>
      </c>
      <c r="E47" s="11">
        <v>19884.759241689302</v>
      </c>
      <c r="F47" s="11"/>
      <c r="G47" s="11">
        <f t="shared" si="9"/>
        <v>19884.759241689302</v>
      </c>
      <c r="H47" s="23">
        <v>44.444699041018886</v>
      </c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11" t="s">
        <v>4</v>
      </c>
      <c r="T47" s="11"/>
      <c r="U47" s="12"/>
      <c r="V47" s="20">
        <v>44.48</v>
      </c>
      <c r="W47" s="12"/>
      <c r="X47" s="12"/>
      <c r="Y47" s="20"/>
      <c r="Z47" s="12"/>
      <c r="AA47" s="11"/>
      <c r="AB47" s="45"/>
      <c r="AC47" s="45">
        <f xml:space="preserve"> E47 * V47</f>
        <v>884474.09107034013</v>
      </c>
      <c r="AD47" s="45"/>
      <c r="AE47" s="45"/>
      <c r="AF47" s="45"/>
      <c r="AG47" s="45"/>
      <c r="AH47" s="44">
        <f>SUM(AB47:AG47) * (1 + $AQ$8)</f>
        <v>915086.87909993122</v>
      </c>
      <c r="AI47" s="36"/>
      <c r="AJ47" s="36"/>
      <c r="AK47" s="95"/>
      <c r="AL47" s="95"/>
      <c r="AM47" s="44"/>
    </row>
    <row r="48" spans="1:42" ht="4.95" customHeight="1" collapsed="1" x14ac:dyDescent="0.35">
      <c r="A48" s="8"/>
      <c r="B48" s="10"/>
      <c r="C48" s="10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45"/>
      <c r="AC48" s="45"/>
      <c r="AD48" s="45"/>
      <c r="AE48" s="45"/>
      <c r="AF48" s="45"/>
      <c r="AG48" s="45"/>
      <c r="AH48" s="44"/>
      <c r="AI48" s="36"/>
      <c r="AJ48" s="36"/>
      <c r="AK48" s="11"/>
      <c r="AL48" s="11"/>
      <c r="AM48" s="44"/>
    </row>
    <row r="49" spans="1:42" s="52" customFormat="1" ht="15" x14ac:dyDescent="0.35">
      <c r="A49" s="46" t="s">
        <v>6</v>
      </c>
      <c r="B49" s="74" t="s">
        <v>16</v>
      </c>
      <c r="C49" s="47"/>
      <c r="D49" s="48">
        <v>62597.64</v>
      </c>
      <c r="E49" s="48">
        <v>1235.5755104651164</v>
      </c>
      <c r="F49" s="48"/>
      <c r="G49" s="48">
        <f t="shared" ref="G49:G54" si="11" xml:space="preserve"> E49</f>
        <v>1235.5755104651164</v>
      </c>
      <c r="H49" s="48">
        <v>50.662739322533149</v>
      </c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8" t="s">
        <v>2</v>
      </c>
      <c r="T49" s="48"/>
      <c r="U49" s="48"/>
      <c r="V49" s="48"/>
      <c r="W49" s="48"/>
      <c r="X49" s="48"/>
      <c r="Y49" s="48"/>
      <c r="Z49" s="48"/>
      <c r="AA49" s="48"/>
      <c r="AB49" s="50">
        <f t="shared" ref="AB49:AG49" si="12">SUM(AB50:AB54)</f>
        <v>66164.608460267453</v>
      </c>
      <c r="AC49" s="50">
        <f t="shared" si="12"/>
        <v>0</v>
      </c>
      <c r="AD49" s="50">
        <f t="shared" si="12"/>
        <v>0</v>
      </c>
      <c r="AE49" s="50">
        <f t="shared" si="12"/>
        <v>0</v>
      </c>
      <c r="AF49" s="50">
        <f t="shared" si="12"/>
        <v>0</v>
      </c>
      <c r="AG49" s="50">
        <f t="shared" si="12"/>
        <v>0</v>
      </c>
      <c r="AH49" s="51">
        <f>SUM(AB49:AG49) * (1 + $AQ$8)</f>
        <v>68454.650819115894</v>
      </c>
      <c r="AI49" s="57">
        <f xml:space="preserve"> IF( AH49 &lt;&gt; 0, AH49- D49, 0)</f>
        <v>5857.0108191158943</v>
      </c>
      <c r="AJ49" s="58">
        <f xml:space="preserve"> AI49 / D49</f>
        <v>9.3566000557143911E-2</v>
      </c>
      <c r="AK49" s="96">
        <f xml:space="preserve"> 100% * (1 + $AK$6) * (1 + $AK$7)</f>
        <v>1.0624506299999998</v>
      </c>
      <c r="AL49" s="96">
        <f xml:space="preserve"> 100% * (1 + $AL$6) * (1 + $AL$7)</f>
        <v>1.07985424</v>
      </c>
      <c r="AM49" s="51">
        <f xml:space="preserve"> (SUM( AB49, AF49) * AK49 * (1 + $AQ$8)) + (SUM( AC49:AE49, AG49) * AL49 * (1 + $AQ$8))</f>
        <v>72729.6868891997</v>
      </c>
      <c r="AN49" s="57">
        <f xml:space="preserve"> AM49 - AH49</f>
        <v>4275.0360700838064</v>
      </c>
      <c r="AO49" s="58">
        <f xml:space="preserve"> (AM49 - AH49) / AH49</f>
        <v>6.2450630000000042E-2</v>
      </c>
      <c r="AP49" s="53"/>
    </row>
    <row r="50" spans="1:42" ht="15" hidden="1" outlineLevel="1" x14ac:dyDescent="0.35">
      <c r="A50" s="8"/>
      <c r="B50" s="9"/>
      <c r="C50" s="9" t="s">
        <v>7</v>
      </c>
      <c r="D50" s="11">
        <v>19270.439999999999</v>
      </c>
      <c r="E50" s="11">
        <v>380.36711511627908</v>
      </c>
      <c r="F50" s="11"/>
      <c r="G50" s="11">
        <f t="shared" si="11"/>
        <v>380.36711511627908</v>
      </c>
      <c r="H50" s="11">
        <v>50.662739322533142</v>
      </c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11" t="s">
        <v>2</v>
      </c>
      <c r="T50" s="11"/>
      <c r="U50" s="20">
        <v>60.1</v>
      </c>
      <c r="V50" s="12"/>
      <c r="W50" s="12"/>
      <c r="X50" s="12"/>
      <c r="Y50" s="12"/>
      <c r="Z50" s="12"/>
      <c r="AA50" s="11"/>
      <c r="AB50" s="45">
        <f xml:space="preserve"> E50 * U50</f>
        <v>22860.063618488373</v>
      </c>
      <c r="AC50" s="45"/>
      <c r="AD50" s="45"/>
      <c r="AE50" s="45"/>
      <c r="AF50" s="45"/>
      <c r="AG50" s="45"/>
      <c r="AH50" s="44">
        <f>SUM(AB50:AG50) * (1 + $AQ$8)</f>
        <v>23651.279877914221</v>
      </c>
      <c r="AI50" s="36"/>
      <c r="AJ50" s="36"/>
      <c r="AK50" s="95"/>
      <c r="AL50" s="95"/>
      <c r="AM50" s="44"/>
    </row>
    <row r="51" spans="1:42" ht="15" hidden="1" outlineLevel="1" x14ac:dyDescent="0.35">
      <c r="A51" s="8"/>
      <c r="B51" s="9"/>
      <c r="C51" s="9" t="s">
        <v>8</v>
      </c>
      <c r="D51" s="11">
        <v>29950.2</v>
      </c>
      <c r="E51" s="11">
        <v>591.16819186046507</v>
      </c>
      <c r="F51" s="11"/>
      <c r="G51" s="11">
        <f t="shared" si="11"/>
        <v>591.16819186046507</v>
      </c>
      <c r="H51" s="11">
        <v>50.662739322533149</v>
      </c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11" t="s">
        <v>2</v>
      </c>
      <c r="T51" s="11"/>
      <c r="U51" s="20">
        <v>50.88</v>
      </c>
      <c r="V51" s="12"/>
      <c r="W51" s="12"/>
      <c r="X51" s="12"/>
      <c r="Y51" s="12"/>
      <c r="Z51" s="12"/>
      <c r="AA51" s="11"/>
      <c r="AB51" s="45">
        <f xml:space="preserve"> E51 * U51</f>
        <v>30078.637601860464</v>
      </c>
      <c r="AC51" s="45"/>
      <c r="AD51" s="45"/>
      <c r="AE51" s="45"/>
      <c r="AF51" s="45"/>
      <c r="AG51" s="45"/>
      <c r="AH51" s="44">
        <f>SUM(AB51:AG51) * (1 + $AQ$8)</f>
        <v>31119.698008740619</v>
      </c>
      <c r="AI51" s="36"/>
      <c r="AJ51" s="36"/>
      <c r="AK51" s="95"/>
      <c r="AL51" s="95"/>
      <c r="AM51" s="44"/>
    </row>
    <row r="52" spans="1:42" ht="15" hidden="1" outlineLevel="1" x14ac:dyDescent="0.35">
      <c r="A52" s="8"/>
      <c r="B52" s="9"/>
      <c r="C52" s="9" t="s">
        <v>10</v>
      </c>
      <c r="D52" s="11">
        <v>5325.76</v>
      </c>
      <c r="E52" s="11">
        <v>123.33693374329158</v>
      </c>
      <c r="F52" s="11"/>
      <c r="G52" s="11">
        <f t="shared" si="11"/>
        <v>123.33693374329158</v>
      </c>
      <c r="H52" s="11">
        <v>45.753559155621019</v>
      </c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11" t="s">
        <v>2</v>
      </c>
      <c r="T52" s="11"/>
      <c r="U52" s="20">
        <v>67.08</v>
      </c>
      <c r="V52" s="12"/>
      <c r="W52" s="12"/>
      <c r="X52" s="12"/>
      <c r="Y52" s="12"/>
      <c r="Z52" s="12"/>
      <c r="AA52" s="11"/>
      <c r="AB52" s="45">
        <f xml:space="preserve"> E52 * U52</f>
        <v>8273.4415154999988</v>
      </c>
      <c r="AC52" s="45"/>
      <c r="AD52" s="45"/>
      <c r="AE52" s="45"/>
      <c r="AF52" s="45"/>
      <c r="AG52" s="45"/>
      <c r="AH52" s="44">
        <f>SUM(AB52:AG52) * (1 + $AQ$8)</f>
        <v>8559.7959875487213</v>
      </c>
      <c r="AI52" s="36"/>
      <c r="AJ52" s="36"/>
      <c r="AK52" s="95"/>
      <c r="AL52" s="95"/>
      <c r="AM52" s="44"/>
    </row>
    <row r="53" spans="1:42" ht="15" hidden="1" outlineLevel="1" x14ac:dyDescent="0.35">
      <c r="A53" s="8"/>
      <c r="B53" s="9"/>
      <c r="C53" s="9" t="s">
        <v>9</v>
      </c>
      <c r="D53" s="11">
        <v>4174.8</v>
      </c>
      <c r="E53" s="11">
        <v>82.403755813953467</v>
      </c>
      <c r="F53" s="11"/>
      <c r="G53" s="11">
        <f t="shared" si="11"/>
        <v>82.403755813953467</v>
      </c>
      <c r="H53" s="11">
        <v>50.662739322533142</v>
      </c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11" t="s">
        <v>2</v>
      </c>
      <c r="T53" s="11"/>
      <c r="U53" s="20">
        <v>60.1</v>
      </c>
      <c r="V53" s="12"/>
      <c r="W53" s="12"/>
      <c r="X53" s="12"/>
      <c r="Y53" s="12"/>
      <c r="Z53" s="12"/>
      <c r="AA53" s="11"/>
      <c r="AB53" s="45">
        <f xml:space="preserve"> E53 * U53</f>
        <v>4952.4657244186037</v>
      </c>
      <c r="AC53" s="45"/>
      <c r="AD53" s="45"/>
      <c r="AE53" s="45"/>
      <c r="AF53" s="45"/>
      <c r="AG53" s="45"/>
      <c r="AH53" s="44">
        <f>SUM(AB53:AG53) * (1 + $AQ$8)</f>
        <v>5123.8769449123256</v>
      </c>
      <c r="AI53" s="36"/>
      <c r="AJ53" s="36"/>
      <c r="AK53" s="95"/>
      <c r="AL53" s="95"/>
      <c r="AM53" s="44"/>
    </row>
    <row r="54" spans="1:42" ht="15" hidden="1" outlineLevel="1" x14ac:dyDescent="0.35">
      <c r="A54" s="8"/>
      <c r="B54" s="9"/>
      <c r="C54" s="9" t="s">
        <v>11</v>
      </c>
      <c r="D54" s="11">
        <v>0</v>
      </c>
      <c r="E54" s="11">
        <v>0</v>
      </c>
      <c r="F54" s="11"/>
      <c r="G54" s="11">
        <f t="shared" si="11"/>
        <v>0</v>
      </c>
      <c r="H54" s="11">
        <v>0</v>
      </c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11" t="s">
        <v>2</v>
      </c>
      <c r="T54" s="11"/>
      <c r="U54" s="20">
        <v>49.9</v>
      </c>
      <c r="V54" s="12"/>
      <c r="W54" s="12"/>
      <c r="X54" s="12"/>
      <c r="Y54" s="12"/>
      <c r="Z54" s="12"/>
      <c r="AA54" s="11"/>
      <c r="AB54" s="45">
        <f xml:space="preserve"> E54 * U54</f>
        <v>0</v>
      </c>
      <c r="AC54" s="45"/>
      <c r="AD54" s="45"/>
      <c r="AE54" s="45"/>
      <c r="AF54" s="45"/>
      <c r="AG54" s="45"/>
      <c r="AH54" s="44">
        <f>SUM(AB54:AG54) * (1 + $AQ$8)</f>
        <v>0</v>
      </c>
      <c r="AI54" s="36"/>
      <c r="AJ54" s="36"/>
      <c r="AK54" s="95"/>
      <c r="AL54" s="95"/>
      <c r="AM54" s="44"/>
    </row>
    <row r="55" spans="1:42" ht="4.95" customHeight="1" collapsed="1" x14ac:dyDescent="0.35">
      <c r="A55" s="8"/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45"/>
      <c r="AC55" s="45"/>
      <c r="AD55" s="45"/>
      <c r="AE55" s="45"/>
      <c r="AF55" s="45"/>
      <c r="AG55" s="45"/>
      <c r="AH55" s="44"/>
      <c r="AI55" s="36"/>
      <c r="AJ55" s="36"/>
      <c r="AK55" s="11"/>
      <c r="AL55" s="11"/>
      <c r="AM55" s="44"/>
    </row>
    <row r="56" spans="1:42" s="52" customFormat="1" ht="15" x14ac:dyDescent="0.35">
      <c r="A56" s="46" t="s">
        <v>6</v>
      </c>
      <c r="B56" s="74" t="s">
        <v>17</v>
      </c>
      <c r="C56" s="47"/>
      <c r="D56" s="48">
        <v>465591.56</v>
      </c>
      <c r="E56" s="48">
        <v>6647.6261706942214</v>
      </c>
      <c r="F56" s="48"/>
      <c r="G56" s="48">
        <f t="shared" ref="G56:G61" si="13" xml:space="preserve"> E56</f>
        <v>6647.6261706942214</v>
      </c>
      <c r="H56" s="48">
        <v>67.746686303387349</v>
      </c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8" t="s">
        <v>2</v>
      </c>
      <c r="T56" s="48"/>
      <c r="U56" s="48"/>
      <c r="V56" s="48"/>
      <c r="W56" s="48"/>
      <c r="X56" s="48"/>
      <c r="Y56" s="48"/>
      <c r="Z56" s="48"/>
      <c r="AA56" s="48"/>
      <c r="AB56" s="50">
        <f t="shared" ref="AB56:AG56" si="14">SUM(AB57:AB61)</f>
        <v>398222.61994086334</v>
      </c>
      <c r="AC56" s="50">
        <f t="shared" si="14"/>
        <v>0</v>
      </c>
      <c r="AD56" s="50">
        <f t="shared" si="14"/>
        <v>0</v>
      </c>
      <c r="AE56" s="50">
        <f t="shared" si="14"/>
        <v>0</v>
      </c>
      <c r="AF56" s="50"/>
      <c r="AG56" s="50">
        <f t="shared" si="14"/>
        <v>0</v>
      </c>
      <c r="AH56" s="51">
        <f>SUM(AB56:AG56) * (1 + $AQ$8)</f>
        <v>412005.61796863552</v>
      </c>
      <c r="AI56" s="57">
        <f xml:space="preserve"> IF( AH56 &lt;&gt; 0, AH56- D56, 0)</f>
        <v>-53585.94203136448</v>
      </c>
      <c r="AJ56" s="58">
        <f xml:space="preserve"> AI56 / D56</f>
        <v>-0.11509216797521948</v>
      </c>
      <c r="AK56" s="96">
        <f xml:space="preserve"> 100% * (1 + $AK$6) * (1 + $AK$7)</f>
        <v>1.0624506299999998</v>
      </c>
      <c r="AL56" s="96">
        <f xml:space="preserve"> 100% * (1 + $AL$6) * (1 + $AL$7)</f>
        <v>1.07985424</v>
      </c>
      <c r="AM56" s="51">
        <f xml:space="preserve"> (SUM( AB56, AF56) * AK56 * (1 + $AQ$8)) + (SUM( AC56:AE56, AG56) * AL56 * (1 + $AQ$8))</f>
        <v>437735.62837431603</v>
      </c>
      <c r="AN56" s="57">
        <f xml:space="preserve"> AM56 - AH56</f>
        <v>25730.010405680514</v>
      </c>
      <c r="AO56" s="58">
        <f xml:space="preserve"> (AM56 - AH56) / AH56</f>
        <v>6.2450629999999771E-2</v>
      </c>
      <c r="AP56" s="53"/>
    </row>
    <row r="57" spans="1:42" ht="15" hidden="1" outlineLevel="1" x14ac:dyDescent="0.35">
      <c r="A57" s="8"/>
      <c r="B57" s="9"/>
      <c r="C57" s="9" t="s">
        <v>7</v>
      </c>
      <c r="D57" s="11">
        <v>277317</v>
      </c>
      <c r="E57" s="11">
        <v>3958.5102630100678</v>
      </c>
      <c r="F57" s="11"/>
      <c r="G57" s="11">
        <f t="shared" si="13"/>
        <v>3958.5102630100678</v>
      </c>
      <c r="H57" s="11">
        <v>68.532155130093273</v>
      </c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11" t="s">
        <v>2</v>
      </c>
      <c r="T57" s="11"/>
      <c r="U57" s="20">
        <v>60.1</v>
      </c>
      <c r="V57" s="12"/>
      <c r="W57" s="12"/>
      <c r="X57" s="12"/>
      <c r="Y57" s="12"/>
      <c r="Z57" s="12"/>
      <c r="AA57" s="11"/>
      <c r="AB57" s="45">
        <f xml:space="preserve"> E57 * U57</f>
        <v>237906.46680690508</v>
      </c>
      <c r="AC57" s="45"/>
      <c r="AD57" s="45"/>
      <c r="AE57" s="45"/>
      <c r="AF57" s="45"/>
      <c r="AG57" s="45"/>
      <c r="AH57" s="44">
        <f>SUM(AB57:AG57) * (1 + $AQ$8)</f>
        <v>246140.71619053066</v>
      </c>
      <c r="AI57" s="36"/>
      <c r="AJ57" s="36"/>
      <c r="AK57" s="95"/>
      <c r="AL57" s="95"/>
      <c r="AM57" s="44"/>
    </row>
    <row r="58" spans="1:42" ht="15" hidden="1" outlineLevel="1" x14ac:dyDescent="0.35">
      <c r="A58" s="8"/>
      <c r="B58" s="9"/>
      <c r="C58" s="9" t="s">
        <v>8</v>
      </c>
      <c r="D58" s="11">
        <v>63607.71</v>
      </c>
      <c r="E58" s="11">
        <v>910.56477697803814</v>
      </c>
      <c r="F58" s="11"/>
      <c r="G58" s="11">
        <f t="shared" si="13"/>
        <v>910.56477697803814</v>
      </c>
      <c r="H58" s="11">
        <v>62.052037309769275</v>
      </c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11" t="s">
        <v>2</v>
      </c>
      <c r="T58" s="11"/>
      <c r="U58" s="20">
        <v>50.88</v>
      </c>
      <c r="V58" s="12"/>
      <c r="W58" s="12"/>
      <c r="X58" s="12"/>
      <c r="Y58" s="12"/>
      <c r="Z58" s="12"/>
      <c r="AA58" s="11"/>
      <c r="AB58" s="45">
        <f xml:space="preserve"> E58 * U58</f>
        <v>46329.535852642584</v>
      </c>
      <c r="AC58" s="45"/>
      <c r="AD58" s="45"/>
      <c r="AE58" s="45"/>
      <c r="AF58" s="45"/>
      <c r="AG58" s="45"/>
      <c r="AH58" s="44">
        <f>SUM(AB58:AG58) * (1 + $AQ$8)</f>
        <v>47933.0607889694</v>
      </c>
      <c r="AI58" s="36"/>
      <c r="AJ58" s="36"/>
      <c r="AK58" s="95"/>
      <c r="AL58" s="95"/>
      <c r="AM58" s="44"/>
    </row>
    <row r="59" spans="1:42" ht="15" hidden="1" outlineLevel="1" x14ac:dyDescent="0.35">
      <c r="A59" s="8"/>
      <c r="B59" s="9"/>
      <c r="C59" s="9" t="s">
        <v>10</v>
      </c>
      <c r="D59" s="11">
        <v>28937.360000000001</v>
      </c>
      <c r="E59" s="11">
        <v>415.32672485426599</v>
      </c>
      <c r="F59" s="11"/>
      <c r="G59" s="11">
        <f t="shared" si="13"/>
        <v>415.32672485426599</v>
      </c>
      <c r="H59" s="11">
        <v>67.746686303387335</v>
      </c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11" t="s">
        <v>2</v>
      </c>
      <c r="T59" s="11"/>
      <c r="U59" s="20">
        <v>67.08</v>
      </c>
      <c r="V59" s="12"/>
      <c r="W59" s="12"/>
      <c r="X59" s="12"/>
      <c r="Y59" s="12"/>
      <c r="Z59" s="12"/>
      <c r="AA59" s="11"/>
      <c r="AB59" s="45">
        <f xml:space="preserve"> E59 * U59</f>
        <v>27860.116703224161</v>
      </c>
      <c r="AC59" s="45"/>
      <c r="AD59" s="45"/>
      <c r="AE59" s="45"/>
      <c r="AF59" s="45"/>
      <c r="AG59" s="45"/>
      <c r="AH59" s="44">
        <f>SUM(AB59:AG59) * (1 + $AQ$8)</f>
        <v>28824.391243005615</v>
      </c>
      <c r="AI59" s="36"/>
      <c r="AJ59" s="36"/>
      <c r="AK59" s="95"/>
      <c r="AL59" s="95"/>
      <c r="AM59" s="44"/>
    </row>
    <row r="60" spans="1:42" ht="15" hidden="1" outlineLevel="1" x14ac:dyDescent="0.35">
      <c r="A60" s="8"/>
      <c r="B60" s="9"/>
      <c r="C60" s="9" t="s">
        <v>9</v>
      </c>
      <c r="D60" s="11">
        <v>69383.850000000006</v>
      </c>
      <c r="E60" s="11">
        <v>1029.6431242513031</v>
      </c>
      <c r="F60" s="11"/>
      <c r="G60" s="11">
        <f t="shared" si="13"/>
        <v>1029.6431242513031</v>
      </c>
      <c r="H60" s="11">
        <v>62.052037309769275</v>
      </c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11" t="s">
        <v>2</v>
      </c>
      <c r="T60" s="11"/>
      <c r="U60" s="20">
        <v>60.1</v>
      </c>
      <c r="V60" s="12"/>
      <c r="W60" s="12"/>
      <c r="X60" s="12"/>
      <c r="Y60" s="12"/>
      <c r="Z60" s="12"/>
      <c r="AA60" s="11"/>
      <c r="AB60" s="45">
        <f xml:space="preserve"> E60 * U60</f>
        <v>61881.551767503319</v>
      </c>
      <c r="AC60" s="45"/>
      <c r="AD60" s="45"/>
      <c r="AE60" s="45"/>
      <c r="AF60" s="45"/>
      <c r="AG60" s="45"/>
      <c r="AH60" s="44">
        <f>SUM(AB60:AG60) * (1 + $AQ$8)</f>
        <v>64023.352015047363</v>
      </c>
      <c r="AI60" s="36"/>
      <c r="AJ60" s="36"/>
      <c r="AK60" s="95"/>
      <c r="AL60" s="95"/>
      <c r="AM60" s="44"/>
    </row>
    <row r="61" spans="1:42" ht="15" hidden="1" outlineLevel="1" x14ac:dyDescent="0.35">
      <c r="A61" s="8"/>
      <c r="B61" s="9"/>
      <c r="C61" s="9" t="s">
        <v>11</v>
      </c>
      <c r="D61" s="11">
        <v>34061.040000000001</v>
      </c>
      <c r="E61" s="11">
        <v>485.87071764705877</v>
      </c>
      <c r="F61" s="11"/>
      <c r="G61" s="11">
        <f t="shared" si="13"/>
        <v>485.87071764705877</v>
      </c>
      <c r="H61" s="11">
        <v>70.103092783505161</v>
      </c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11" t="s">
        <v>2</v>
      </c>
      <c r="T61" s="11"/>
      <c r="U61" s="20">
        <v>49.9</v>
      </c>
      <c r="V61" s="12"/>
      <c r="W61" s="12"/>
      <c r="X61" s="12"/>
      <c r="Y61" s="12"/>
      <c r="Z61" s="12"/>
      <c r="AA61" s="11"/>
      <c r="AB61" s="45">
        <f xml:space="preserve"> E61 * U61</f>
        <v>24244.94881058823</v>
      </c>
      <c r="AC61" s="45"/>
      <c r="AD61" s="45"/>
      <c r="AE61" s="45"/>
      <c r="AF61" s="45"/>
      <c r="AG61" s="45"/>
      <c r="AH61" s="44">
        <f>SUM(AB61:AG61) * (1 + $AQ$8)</f>
        <v>25084.097731082496</v>
      </c>
      <c r="AI61" s="36"/>
      <c r="AJ61" s="36"/>
      <c r="AK61" s="95"/>
      <c r="AL61" s="95"/>
      <c r="AM61" s="44"/>
    </row>
    <row r="62" spans="1:42" ht="4.95" customHeight="1" collapsed="1" x14ac:dyDescent="0.35">
      <c r="A62" s="8"/>
      <c r="B62" s="10"/>
      <c r="C62" s="10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45"/>
      <c r="AC62" s="45"/>
      <c r="AD62" s="45"/>
      <c r="AE62" s="45"/>
      <c r="AF62" s="45"/>
      <c r="AG62" s="45"/>
      <c r="AH62" s="44"/>
      <c r="AI62" s="36"/>
      <c r="AJ62" s="36"/>
      <c r="AK62" s="11"/>
      <c r="AL62" s="11"/>
      <c r="AM62" s="44"/>
    </row>
    <row r="63" spans="1:42" s="52" customFormat="1" ht="15" x14ac:dyDescent="0.35">
      <c r="A63" s="46" t="s">
        <v>6</v>
      </c>
      <c r="B63" s="74" t="s">
        <v>18</v>
      </c>
      <c r="C63" s="47"/>
      <c r="D63" s="48">
        <v>99473.12</v>
      </c>
      <c r="E63" s="48">
        <v>2517.6063690410651</v>
      </c>
      <c r="F63" s="48"/>
      <c r="G63" s="48">
        <f t="shared" ref="G63:G68" si="15" xml:space="preserve"> E63</f>
        <v>2517.6063690410651</v>
      </c>
      <c r="H63" s="48">
        <v>35.438341759715989</v>
      </c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8" t="s">
        <v>3</v>
      </c>
      <c r="T63" s="48"/>
      <c r="U63" s="48"/>
      <c r="V63" s="48"/>
      <c r="W63" s="48"/>
      <c r="X63" s="48"/>
      <c r="Y63" s="48"/>
      <c r="Z63" s="48"/>
      <c r="AA63" s="48"/>
      <c r="AB63" s="50">
        <f t="shared" ref="AB63:AG63" si="16">SUM(AB64:AB68)</f>
        <v>0</v>
      </c>
      <c r="AC63" s="50">
        <f t="shared" si="16"/>
        <v>79425.846622884987</v>
      </c>
      <c r="AD63" s="50">
        <f t="shared" si="16"/>
        <v>0</v>
      </c>
      <c r="AE63" s="50">
        <f t="shared" si="16"/>
        <v>0</v>
      </c>
      <c r="AF63" s="50"/>
      <c r="AG63" s="50">
        <f t="shared" si="16"/>
        <v>0</v>
      </c>
      <c r="AH63" s="51">
        <f>SUM(AB63:AG63) * (1 + $AQ$8)</f>
        <v>82174.877523038085</v>
      </c>
      <c r="AI63" s="57">
        <f xml:space="preserve"> IF( AH63 &lt;&gt; 0, AH63- D63, 0)</f>
        <v>-17298.24247696191</v>
      </c>
      <c r="AJ63" s="58">
        <f xml:space="preserve"> AI63 / D63</f>
        <v>-0.1738986620401764</v>
      </c>
      <c r="AK63" s="96">
        <f xml:space="preserve"> 100% * (1 + $AK$6) * (1 + $AK$7)</f>
        <v>1.0624506299999998</v>
      </c>
      <c r="AL63" s="96">
        <f xml:space="preserve"> 100% * (1 + $AL$6) * (1 + $AL$7)</f>
        <v>1.07985424</v>
      </c>
      <c r="AM63" s="51">
        <f xml:space="preserve"> (SUM( AB63, AF63) * AK63 * (1 + $AQ$8)) + (SUM( AC63:AE63, AG63) * AL63 * (1 + $AQ$8))</f>
        <v>88736.889914733387</v>
      </c>
      <c r="AN63" s="57">
        <f xml:space="preserve"> AM63 - AH63</f>
        <v>6562.0123916953016</v>
      </c>
      <c r="AO63" s="58">
        <f xml:space="preserve"> (AM63 - AH63) / AH63</f>
        <v>7.985424000000016E-2</v>
      </c>
      <c r="AP63" s="53"/>
    </row>
    <row r="64" spans="1:42" ht="15" hidden="1" outlineLevel="1" x14ac:dyDescent="0.35">
      <c r="A64" s="8"/>
      <c r="B64" s="9"/>
      <c r="C64" s="9" t="s">
        <v>7</v>
      </c>
      <c r="D64" s="11">
        <v>57053.48</v>
      </c>
      <c r="E64" s="11">
        <v>1396.850225480769</v>
      </c>
      <c r="F64" s="11"/>
      <c r="G64" s="11">
        <f t="shared" si="15"/>
        <v>1396.850225480769</v>
      </c>
      <c r="H64" s="11">
        <v>40.844378988708897</v>
      </c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11" t="s">
        <v>3</v>
      </c>
      <c r="T64" s="11"/>
      <c r="U64" s="20"/>
      <c r="V64" s="20">
        <v>34.04</v>
      </c>
      <c r="W64" s="12"/>
      <c r="X64" s="12"/>
      <c r="Y64" s="12"/>
      <c r="Z64" s="12"/>
      <c r="AA64" s="11"/>
      <c r="AB64" s="45"/>
      <c r="AC64" s="45">
        <f xml:space="preserve"> E64 * V64</f>
        <v>47548.781675365375</v>
      </c>
      <c r="AD64" s="45"/>
      <c r="AE64" s="45"/>
      <c r="AF64" s="45"/>
      <c r="AG64" s="45"/>
      <c r="AH64" s="44">
        <f>SUM(AB64:AG64) * (1 + $AQ$8)</f>
        <v>49194.506280742768</v>
      </c>
      <c r="AI64" s="36"/>
      <c r="AJ64" s="36"/>
      <c r="AK64" s="95"/>
      <c r="AL64" s="95"/>
      <c r="AM64" s="44"/>
    </row>
    <row r="65" spans="1:42" ht="15" hidden="1" outlineLevel="1" x14ac:dyDescent="0.35">
      <c r="A65" s="8"/>
      <c r="B65" s="9"/>
      <c r="C65" s="9" t="s">
        <v>8</v>
      </c>
      <c r="D65" s="11">
        <v>22775.599999999999</v>
      </c>
      <c r="E65" s="11">
        <v>639.8077123102961</v>
      </c>
      <c r="F65" s="11"/>
      <c r="G65" s="11">
        <f t="shared" si="15"/>
        <v>639.8077123102961</v>
      </c>
      <c r="H65" s="11">
        <v>31.834316940387385</v>
      </c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11" t="s">
        <v>3</v>
      </c>
      <c r="T65" s="11"/>
      <c r="U65" s="20"/>
      <c r="V65" s="20">
        <v>32.64</v>
      </c>
      <c r="W65" s="12"/>
      <c r="X65" s="12"/>
      <c r="Y65" s="12"/>
      <c r="Z65" s="12"/>
      <c r="AA65" s="11"/>
      <c r="AB65" s="45"/>
      <c r="AC65" s="45">
        <f xml:space="preserve"> E65 * V65</f>
        <v>20883.323729808064</v>
      </c>
      <c r="AD65" s="45"/>
      <c r="AE65" s="45"/>
      <c r="AF65" s="45"/>
      <c r="AG65" s="45"/>
      <c r="AH65" s="44">
        <f>SUM(AB65:AG65) * (1 + $AQ$8)</f>
        <v>21606.122474449981</v>
      </c>
      <c r="AI65" s="36"/>
      <c r="AJ65" s="36"/>
      <c r="AK65" s="95"/>
      <c r="AL65" s="95"/>
      <c r="AM65" s="44"/>
    </row>
    <row r="66" spans="1:42" ht="15" hidden="1" outlineLevel="1" x14ac:dyDescent="0.35">
      <c r="A66" s="8"/>
      <c r="B66" s="9"/>
      <c r="C66" s="9" t="s">
        <v>10</v>
      </c>
      <c r="D66" s="11">
        <v>2205.36</v>
      </c>
      <c r="E66" s="11">
        <v>53.994210576923081</v>
      </c>
      <c r="F66" s="11"/>
      <c r="G66" s="11">
        <f t="shared" si="15"/>
        <v>53.994210576923081</v>
      </c>
      <c r="H66" s="11">
        <v>40.84437898870889</v>
      </c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11" t="s">
        <v>3</v>
      </c>
      <c r="T66" s="11"/>
      <c r="U66" s="12"/>
      <c r="V66" s="20">
        <v>34.04</v>
      </c>
      <c r="W66" s="12"/>
      <c r="X66" s="12"/>
      <c r="Y66" s="12"/>
      <c r="Z66" s="12"/>
      <c r="AA66" s="11"/>
      <c r="AB66" s="45"/>
      <c r="AC66" s="45">
        <f xml:space="preserve"> E66 * V66</f>
        <v>1837.9629280384615</v>
      </c>
      <c r="AD66" s="45"/>
      <c r="AE66" s="45"/>
      <c r="AF66" s="45"/>
      <c r="AG66" s="45"/>
      <c r="AH66" s="44">
        <f>SUM(AB66:AG66) * (1 + $AQ$8)</f>
        <v>1901.5771933859055</v>
      </c>
      <c r="AI66" s="36"/>
      <c r="AJ66" s="36"/>
      <c r="AK66" s="95"/>
      <c r="AL66" s="95"/>
      <c r="AM66" s="44"/>
    </row>
    <row r="67" spans="1:42" ht="15" hidden="1" outlineLevel="1" x14ac:dyDescent="0.35">
      <c r="A67" s="8"/>
      <c r="B67" s="9"/>
      <c r="C67" s="9" t="s">
        <v>9</v>
      </c>
      <c r="D67" s="11">
        <v>10985.96</v>
      </c>
      <c r="E67" s="11">
        <v>268.97116009615382</v>
      </c>
      <c r="F67" s="11"/>
      <c r="G67" s="11">
        <f t="shared" si="15"/>
        <v>268.97116009615382</v>
      </c>
      <c r="H67" s="11">
        <v>40.84437898870889</v>
      </c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11" t="s">
        <v>3</v>
      </c>
      <c r="T67" s="11"/>
      <c r="U67" s="20"/>
      <c r="V67" s="20">
        <v>34.04</v>
      </c>
      <c r="W67" s="12"/>
      <c r="X67" s="12"/>
      <c r="Y67" s="12"/>
      <c r="Z67" s="12"/>
      <c r="AA67" s="11"/>
      <c r="AB67" s="45"/>
      <c r="AC67" s="45">
        <f xml:space="preserve"> E67 * V67</f>
        <v>9155.7782896730751</v>
      </c>
      <c r="AD67" s="45"/>
      <c r="AE67" s="45"/>
      <c r="AF67" s="45"/>
      <c r="AG67" s="45"/>
      <c r="AH67" s="44">
        <f>SUM(AB67:AG67) * (1 + $AQ$8)</f>
        <v>9472.6715744594167</v>
      </c>
      <c r="AI67" s="36"/>
      <c r="AJ67" s="36"/>
      <c r="AK67" s="95"/>
      <c r="AL67" s="95"/>
      <c r="AM67" s="44"/>
    </row>
    <row r="68" spans="1:42" ht="15" hidden="1" outlineLevel="1" x14ac:dyDescent="0.35">
      <c r="A68" s="8"/>
      <c r="B68" s="9"/>
      <c r="C68" s="9" t="s">
        <v>11</v>
      </c>
      <c r="D68" s="11">
        <v>0</v>
      </c>
      <c r="E68" s="11">
        <v>0</v>
      </c>
      <c r="F68" s="11"/>
      <c r="G68" s="11">
        <f t="shared" si="15"/>
        <v>0</v>
      </c>
      <c r="H68" s="11">
        <v>0</v>
      </c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11" t="s">
        <v>3</v>
      </c>
      <c r="T68" s="11"/>
      <c r="U68" s="12"/>
      <c r="V68" s="20">
        <v>30.51</v>
      </c>
      <c r="W68" s="12"/>
      <c r="X68" s="12"/>
      <c r="Y68" s="20"/>
      <c r="Z68" s="12"/>
      <c r="AA68" s="11"/>
      <c r="AB68" s="45"/>
      <c r="AC68" s="45">
        <f xml:space="preserve"> E68 * V68</f>
        <v>0</v>
      </c>
      <c r="AD68" s="45"/>
      <c r="AE68" s="45"/>
      <c r="AF68" s="45"/>
      <c r="AG68" s="45"/>
      <c r="AH68" s="44">
        <f>SUM(AB68:AG68) * (1 + $AQ$8)</f>
        <v>0</v>
      </c>
      <c r="AI68" s="36"/>
      <c r="AJ68" s="36"/>
      <c r="AK68" s="95"/>
      <c r="AL68" s="95"/>
      <c r="AM68" s="44"/>
    </row>
    <row r="69" spans="1:42" ht="4.95" customHeight="1" collapsed="1" x14ac:dyDescent="0.35">
      <c r="A69" s="8"/>
      <c r="B69" s="10"/>
      <c r="C69" s="10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45"/>
      <c r="AC69" s="45"/>
      <c r="AD69" s="45"/>
      <c r="AE69" s="45"/>
      <c r="AF69" s="45"/>
      <c r="AG69" s="45"/>
      <c r="AH69" s="44"/>
      <c r="AI69" s="36"/>
      <c r="AJ69" s="36"/>
      <c r="AK69" s="11"/>
      <c r="AL69" s="11"/>
      <c r="AM69" s="44"/>
    </row>
    <row r="70" spans="1:42" s="52" customFormat="1" ht="15" x14ac:dyDescent="0.35">
      <c r="A70" s="46" t="s">
        <v>6</v>
      </c>
      <c r="B70" s="74" t="s">
        <v>19</v>
      </c>
      <c r="C70" s="47"/>
      <c r="D70" s="48">
        <v>16787.2</v>
      </c>
      <c r="E70" s="48">
        <v>368.60713969614375</v>
      </c>
      <c r="F70" s="48"/>
      <c r="G70" s="48">
        <f t="shared" ref="G70:G75" si="17" xml:space="preserve"> E70</f>
        <v>368.60713969614375</v>
      </c>
      <c r="H70" s="48">
        <v>49.592538046146295</v>
      </c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8" t="s">
        <v>3</v>
      </c>
      <c r="T70" s="48"/>
      <c r="U70" s="48"/>
      <c r="V70" s="48"/>
      <c r="W70" s="48"/>
      <c r="X70" s="48"/>
      <c r="Y70" s="48"/>
      <c r="Z70" s="48"/>
      <c r="AA70" s="48"/>
      <c r="AB70" s="50">
        <f t="shared" ref="AB70:AG70" si="18">SUM(AB71:AB75)</f>
        <v>0</v>
      </c>
      <c r="AC70" s="50">
        <f t="shared" si="18"/>
        <v>14349.853712391197</v>
      </c>
      <c r="AD70" s="50">
        <f t="shared" si="18"/>
        <v>0</v>
      </c>
      <c r="AE70" s="50">
        <f t="shared" si="18"/>
        <v>0</v>
      </c>
      <c r="AF70" s="50"/>
      <c r="AG70" s="50">
        <f t="shared" si="18"/>
        <v>0</v>
      </c>
      <c r="AH70" s="51">
        <f>SUM(AB70:AG70) * (1 + $AQ$8)</f>
        <v>14846.520640668849</v>
      </c>
      <c r="AI70" s="57">
        <f xml:space="preserve"> IF( AH70 &lt;&gt; 0, AH70- D70, 0)</f>
        <v>-1940.6793593311522</v>
      </c>
      <c r="AJ70" s="58">
        <f xml:space="preserve"> AI70 / D70</f>
        <v>-0.11560470830937572</v>
      </c>
      <c r="AK70" s="96">
        <f xml:space="preserve"> 100% * (1 + $AK$6) * (1 + $AK$7)</f>
        <v>1.0624506299999998</v>
      </c>
      <c r="AL70" s="96">
        <f xml:space="preserve"> 100% * (1 + $AL$6) * (1 + $AL$7)</f>
        <v>1.07985424</v>
      </c>
      <c r="AM70" s="51">
        <f xml:space="preserve"> (SUM( AB70, AF70) * AK70 * (1 + $AQ$8)) + (SUM( AC70:AE70, AG70) * AL70 * (1 + $AQ$8))</f>
        <v>16032.07826307377</v>
      </c>
      <c r="AN70" s="57">
        <f xml:space="preserve"> AM70 - AH70</f>
        <v>1185.5576224049219</v>
      </c>
      <c r="AO70" s="58">
        <f xml:space="preserve"> (AM70 - AH70) / AH70</f>
        <v>7.9854239999999854E-2</v>
      </c>
      <c r="AP70" s="53"/>
    </row>
    <row r="71" spans="1:42" ht="15" hidden="1" outlineLevel="1" x14ac:dyDescent="0.35">
      <c r="A71" s="8"/>
      <c r="B71" s="9"/>
      <c r="C71" s="9" t="s">
        <v>7</v>
      </c>
      <c r="D71" s="11">
        <v>612.6</v>
      </c>
      <c r="E71" s="11">
        <v>14.998391826923074</v>
      </c>
      <c r="F71" s="11"/>
      <c r="G71" s="11">
        <f t="shared" si="17"/>
        <v>14.998391826923074</v>
      </c>
      <c r="H71" s="11">
        <v>40.84437898870889</v>
      </c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11" t="s">
        <v>3</v>
      </c>
      <c r="T71" s="11"/>
      <c r="U71" s="20"/>
      <c r="V71" s="20">
        <v>49.04</v>
      </c>
      <c r="W71" s="12"/>
      <c r="X71" s="12"/>
      <c r="Y71" s="20"/>
      <c r="Z71" s="12"/>
      <c r="AA71" s="11"/>
      <c r="AB71" s="45"/>
      <c r="AC71" s="45">
        <f xml:space="preserve"> E71 * V71</f>
        <v>735.5211351923075</v>
      </c>
      <c r="AD71" s="45"/>
      <c r="AE71" s="45"/>
      <c r="AF71" s="45"/>
      <c r="AG71" s="45"/>
      <c r="AH71" s="44">
        <f>SUM(AB71:AG71) * (1 + $AQ$8)</f>
        <v>760.9784694774512</v>
      </c>
      <c r="AI71" s="36"/>
      <c r="AJ71" s="36"/>
      <c r="AK71" s="95"/>
      <c r="AL71" s="95"/>
      <c r="AM71" s="44"/>
    </row>
    <row r="72" spans="1:42" ht="15" hidden="1" outlineLevel="1" x14ac:dyDescent="0.35">
      <c r="A72" s="8"/>
      <c r="B72" s="9"/>
      <c r="C72" s="9" t="s">
        <v>8</v>
      </c>
      <c r="D72" s="11">
        <v>0</v>
      </c>
      <c r="E72" s="11">
        <v>0</v>
      </c>
      <c r="F72" s="11"/>
      <c r="G72" s="11">
        <f t="shared" si="17"/>
        <v>0</v>
      </c>
      <c r="H72" s="11">
        <v>0</v>
      </c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11" t="s">
        <v>3</v>
      </c>
      <c r="T72" s="11"/>
      <c r="U72" s="20"/>
      <c r="V72" s="20">
        <v>47.27</v>
      </c>
      <c r="W72" s="12"/>
      <c r="X72" s="12"/>
      <c r="Y72" s="20"/>
      <c r="Z72" s="12"/>
      <c r="AA72" s="11"/>
      <c r="AB72" s="45"/>
      <c r="AC72" s="45">
        <f xml:space="preserve"> E72 * V72</f>
        <v>0</v>
      </c>
      <c r="AD72" s="45"/>
      <c r="AE72" s="45"/>
      <c r="AF72" s="45"/>
      <c r="AG72" s="45"/>
      <c r="AH72" s="44">
        <f>SUM(AB72:AG72) * (1 + $AQ$8)</f>
        <v>0</v>
      </c>
      <c r="AI72" s="36"/>
      <c r="AJ72" s="36"/>
      <c r="AK72" s="95"/>
      <c r="AL72" s="95"/>
      <c r="AM72" s="44"/>
    </row>
    <row r="73" spans="1:42" ht="15" hidden="1" outlineLevel="1" x14ac:dyDescent="0.35">
      <c r="A73" s="8"/>
      <c r="B73" s="9"/>
      <c r="C73" s="9" t="s">
        <v>10</v>
      </c>
      <c r="D73" s="11">
        <v>0</v>
      </c>
      <c r="E73" s="11">
        <v>0</v>
      </c>
      <c r="F73" s="11"/>
      <c r="G73" s="11">
        <f t="shared" si="17"/>
        <v>0</v>
      </c>
      <c r="H73" s="11">
        <v>0</v>
      </c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11" t="s">
        <v>3</v>
      </c>
      <c r="T73" s="11"/>
      <c r="U73" s="12"/>
      <c r="V73" s="20">
        <v>49.04</v>
      </c>
      <c r="W73" s="12"/>
      <c r="X73" s="12"/>
      <c r="Y73" s="12"/>
      <c r="Z73" s="12"/>
      <c r="AA73" s="11"/>
      <c r="AB73" s="45"/>
      <c r="AC73" s="45">
        <f xml:space="preserve"> E73 * V73</f>
        <v>0</v>
      </c>
      <c r="AD73" s="45"/>
      <c r="AE73" s="45"/>
      <c r="AF73" s="45"/>
      <c r="AG73" s="45"/>
      <c r="AH73" s="44">
        <f>SUM(AB73:AG73) * (1 + $AQ$8)</f>
        <v>0</v>
      </c>
      <c r="AI73" s="36"/>
      <c r="AJ73" s="36"/>
      <c r="AK73" s="95"/>
      <c r="AL73" s="95"/>
      <c r="AM73" s="44"/>
    </row>
    <row r="74" spans="1:42" ht="15" hidden="1" outlineLevel="1" x14ac:dyDescent="0.35">
      <c r="A74" s="8"/>
      <c r="B74" s="9"/>
      <c r="C74" s="9" t="s">
        <v>9</v>
      </c>
      <c r="D74" s="11">
        <v>18625</v>
      </c>
      <c r="E74" s="11">
        <v>277.61689594614376</v>
      </c>
      <c r="F74" s="11"/>
      <c r="G74" s="11">
        <f t="shared" si="17"/>
        <v>277.61689594614376</v>
      </c>
      <c r="H74" s="11">
        <v>67.088856161021113</v>
      </c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11" t="s">
        <v>3</v>
      </c>
      <c r="T74" s="11"/>
      <c r="U74" s="20"/>
      <c r="V74" s="20">
        <v>49.04</v>
      </c>
      <c r="W74" s="12"/>
      <c r="X74" s="12"/>
      <c r="Y74" s="20"/>
      <c r="Z74" s="12"/>
      <c r="AA74" s="11"/>
      <c r="AB74" s="45"/>
      <c r="AC74" s="45">
        <f xml:space="preserve"> E74 * V74</f>
        <v>13614.332577198889</v>
      </c>
      <c r="AD74" s="45"/>
      <c r="AE74" s="45"/>
      <c r="AF74" s="45"/>
      <c r="AG74" s="45"/>
      <c r="AH74" s="44">
        <f>SUM(AB74:AG74) * (1 + $AQ$8)</f>
        <v>14085.542171191397</v>
      </c>
      <c r="AI74" s="36"/>
      <c r="AJ74" s="36"/>
      <c r="AK74" s="95"/>
      <c r="AL74" s="95"/>
      <c r="AM74" s="44"/>
    </row>
    <row r="75" spans="1:42" ht="15" hidden="1" outlineLevel="1" x14ac:dyDescent="0.35">
      <c r="A75" s="8"/>
      <c r="B75" s="9"/>
      <c r="C75" s="9" t="s">
        <v>11</v>
      </c>
      <c r="D75" s="11">
        <v>0</v>
      </c>
      <c r="E75" s="11">
        <v>0</v>
      </c>
      <c r="F75" s="11"/>
      <c r="G75" s="11">
        <f t="shared" si="17"/>
        <v>0</v>
      </c>
      <c r="H75" s="11">
        <v>0</v>
      </c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11" t="s">
        <v>3</v>
      </c>
      <c r="T75" s="11"/>
      <c r="U75" s="12"/>
      <c r="V75" s="20">
        <v>44.48</v>
      </c>
      <c r="W75" s="12"/>
      <c r="X75" s="12"/>
      <c r="Y75" s="20"/>
      <c r="Z75" s="12"/>
      <c r="AA75" s="11"/>
      <c r="AB75" s="45"/>
      <c r="AC75" s="45">
        <f xml:space="preserve"> E75 * V75</f>
        <v>0</v>
      </c>
      <c r="AD75" s="45"/>
      <c r="AE75" s="45"/>
      <c r="AF75" s="45"/>
      <c r="AG75" s="45"/>
      <c r="AH75" s="44">
        <f>SUM(AB75:AG75) * (1 + $AQ$8)</f>
        <v>0</v>
      </c>
      <c r="AI75" s="36"/>
      <c r="AJ75" s="36"/>
      <c r="AK75" s="95"/>
      <c r="AL75" s="95"/>
      <c r="AM75" s="44"/>
    </row>
    <row r="76" spans="1:42" ht="4.95" customHeight="1" collapsed="1" x14ac:dyDescent="0.35">
      <c r="A76" s="8"/>
      <c r="B76" s="10"/>
      <c r="C76" s="10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45"/>
      <c r="AC76" s="45"/>
      <c r="AD76" s="45"/>
      <c r="AE76" s="45"/>
      <c r="AF76" s="45"/>
      <c r="AG76" s="45"/>
      <c r="AH76" s="44"/>
      <c r="AI76" s="59"/>
      <c r="AJ76" s="36"/>
      <c r="AK76" s="11"/>
      <c r="AL76" s="11"/>
      <c r="AM76" s="44"/>
    </row>
    <row r="77" spans="1:42" s="52" customFormat="1" ht="15" x14ac:dyDescent="0.35">
      <c r="A77" s="46" t="s">
        <v>6</v>
      </c>
      <c r="B77" s="74" t="s">
        <v>21</v>
      </c>
      <c r="C77" s="47"/>
      <c r="D77" s="48">
        <v>374021.98</v>
      </c>
      <c r="E77" s="48">
        <v>4736.8566696142188</v>
      </c>
      <c r="F77" s="48"/>
      <c r="G77" s="49"/>
      <c r="H77" s="49"/>
      <c r="I77" s="49"/>
      <c r="J77" s="48"/>
      <c r="K77" s="48"/>
      <c r="L77" s="49"/>
      <c r="M77" s="48"/>
      <c r="N77" s="55"/>
      <c r="O77" s="49"/>
      <c r="P77" s="49"/>
      <c r="Q77" s="49"/>
      <c r="R77" s="49"/>
      <c r="S77" s="48" t="s">
        <v>3</v>
      </c>
      <c r="T77" s="48"/>
      <c r="U77" s="48"/>
      <c r="V77" s="48"/>
      <c r="W77" s="48"/>
      <c r="X77" s="48"/>
      <c r="Y77" s="48"/>
      <c r="Z77" s="48"/>
      <c r="AA77" s="48"/>
      <c r="AB77" s="50">
        <f t="shared" ref="AB77" si="19">SUM(AB78:AB82)</f>
        <v>0</v>
      </c>
      <c r="AC77" s="50">
        <f t="shared" ref="AC77:AG77" si="20">SUM(AC78:AC82)</f>
        <v>0</v>
      </c>
      <c r="AD77" s="50">
        <f t="shared" si="20"/>
        <v>133260.53405225213</v>
      </c>
      <c r="AE77" s="50">
        <f t="shared" si="20"/>
        <v>31077.093676967455</v>
      </c>
      <c r="AF77" s="50">
        <f>SUM(AF78:AF82)</f>
        <v>233208.37261149051</v>
      </c>
      <c r="AG77" s="50">
        <f t="shared" si="20"/>
        <v>0</v>
      </c>
      <c r="AH77" s="51">
        <f t="shared" ref="AH77:AH82" si="21">SUM(AB77:AG77)</f>
        <v>397546.0003407101</v>
      </c>
      <c r="AI77" s="57">
        <f xml:space="preserve"> IF( AH77 &lt;&gt; 0, AH77- D77, 0)</f>
        <v>23524.020340710122</v>
      </c>
      <c r="AJ77" s="58">
        <f xml:space="preserve"> AI77 / D77</f>
        <v>6.2894753780807541E-2</v>
      </c>
      <c r="AK77" s="96">
        <f xml:space="preserve"> 100% * (1 + $AK$6) * (1 + $AK$7)</f>
        <v>1.0624506299999998</v>
      </c>
      <c r="AL77" s="96">
        <f xml:space="preserve"> 100% * (1 + $AL$6) * (1 + $AL$7)</f>
        <v>1.07985424</v>
      </c>
      <c r="AM77" s="51">
        <f xml:space="preserve"> (SUM( AB77, AF77) * AK77) + (SUM( AC77:AE77, AG77) * AL77)</f>
        <v>425233.06649729214</v>
      </c>
      <c r="AN77" s="57">
        <f xml:space="preserve"> AM77 - AH77</f>
        <v>27687.066156582034</v>
      </c>
      <c r="AO77" s="58">
        <f xml:space="preserve"> (AM77 - AH77) / AH77</f>
        <v>6.9644937020755582E-2</v>
      </c>
      <c r="AP77" s="53"/>
    </row>
    <row r="78" spans="1:42" ht="15" hidden="1" outlineLevel="1" x14ac:dyDescent="0.35">
      <c r="A78" s="8"/>
      <c r="B78" s="9"/>
      <c r="C78" s="9" t="s">
        <v>7</v>
      </c>
      <c r="D78" s="11">
        <v>57486</v>
      </c>
      <c r="E78" s="11">
        <v>714.89</v>
      </c>
      <c r="F78" s="11"/>
      <c r="G78" s="76"/>
      <c r="H78" s="76"/>
      <c r="I78" s="76"/>
      <c r="J78" s="11">
        <f xml:space="preserve"> E78</f>
        <v>714.89</v>
      </c>
      <c r="K78" s="11">
        <f t="shared" ref="K78:K82" si="22">W78 + X78</f>
        <v>37.270000000000003</v>
      </c>
      <c r="L78" s="76"/>
      <c r="M78" s="11">
        <f xml:space="preserve"> (D78 - (E78 * K78)) / N78</f>
        <v>654.42974207187524</v>
      </c>
      <c r="N78" s="18">
        <f xml:space="preserve"> H$22</f>
        <v>47.128129602356388</v>
      </c>
      <c r="O78" s="76"/>
      <c r="P78" s="76"/>
      <c r="Q78" s="76"/>
      <c r="R78" s="76"/>
      <c r="S78" s="11" t="s">
        <v>3</v>
      </c>
      <c r="T78" s="11"/>
      <c r="U78" s="20"/>
      <c r="V78" s="20"/>
      <c r="W78" s="20">
        <v>30.16</v>
      </c>
      <c r="X78" s="20">
        <v>7.11</v>
      </c>
      <c r="Y78" s="20">
        <v>56.59</v>
      </c>
      <c r="Z78" s="12"/>
      <c r="AA78" s="11"/>
      <c r="AB78" s="45"/>
      <c r="AC78" s="45"/>
      <c r="AD78" s="45">
        <f xml:space="preserve"> J78 * W78</f>
        <v>21561.082399999999</v>
      </c>
      <c r="AE78" s="45">
        <f xml:space="preserve"> J78 * X78</f>
        <v>5082.8679000000002</v>
      </c>
      <c r="AF78" s="45">
        <f xml:space="preserve"> M78 * Y78</f>
        <v>37034.179103847418</v>
      </c>
      <c r="AG78" s="45">
        <f xml:space="preserve"> P78 * Z78</f>
        <v>0</v>
      </c>
      <c r="AH78" s="44">
        <f t="shared" si="21"/>
        <v>63678.129403847415</v>
      </c>
      <c r="AI78" s="36"/>
      <c r="AJ78" s="36"/>
      <c r="AK78" s="95"/>
      <c r="AL78" s="95"/>
      <c r="AM78" s="44"/>
    </row>
    <row r="79" spans="1:42" ht="15" hidden="1" outlineLevel="1" x14ac:dyDescent="0.35">
      <c r="A79" s="8"/>
      <c r="B79" s="9"/>
      <c r="C79" s="9" t="s">
        <v>8</v>
      </c>
      <c r="D79" s="11">
        <v>192023.1</v>
      </c>
      <c r="E79" s="11">
        <v>2472.0036290378794</v>
      </c>
      <c r="F79" s="11"/>
      <c r="G79" s="76"/>
      <c r="H79" s="76"/>
      <c r="I79" s="76"/>
      <c r="J79" s="11">
        <f xml:space="preserve"> E79</f>
        <v>2472.0036290378794</v>
      </c>
      <c r="K79" s="11">
        <f t="shared" si="22"/>
        <v>32.799999999999997</v>
      </c>
      <c r="L79" s="76"/>
      <c r="M79" s="11">
        <f xml:space="preserve"> (D79 - (E79 * K79)) / N79</f>
        <v>2354.0374274053975</v>
      </c>
      <c r="N79" s="18">
        <f xml:space="preserve"> H$23</f>
        <v>47.128129602355706</v>
      </c>
      <c r="O79" s="76"/>
      <c r="P79" s="76"/>
      <c r="Q79" s="76"/>
      <c r="R79" s="76"/>
      <c r="S79" s="11" t="s">
        <v>3</v>
      </c>
      <c r="T79" s="11"/>
      <c r="U79" s="20"/>
      <c r="V79" s="20"/>
      <c r="W79" s="20">
        <v>26.62</v>
      </c>
      <c r="X79" s="20">
        <v>6.18</v>
      </c>
      <c r="Y79" s="20">
        <v>48.73</v>
      </c>
      <c r="Z79" s="12"/>
      <c r="AA79" s="11"/>
      <c r="AB79" s="45"/>
      <c r="AC79" s="45"/>
      <c r="AD79" s="45">
        <f xml:space="preserve"> J79 * W79</f>
        <v>65804.736604988357</v>
      </c>
      <c r="AE79" s="45">
        <f xml:space="preserve"> J79 * X79</f>
        <v>15276.982427454093</v>
      </c>
      <c r="AF79" s="45">
        <f xml:space="preserve"> M79 * Y79</f>
        <v>114712.24383746501</v>
      </c>
      <c r="AG79" s="45">
        <f xml:space="preserve"> P79 * Z79</f>
        <v>0</v>
      </c>
      <c r="AH79" s="44">
        <f t="shared" si="21"/>
        <v>195793.96286990744</v>
      </c>
      <c r="AI79" s="36"/>
      <c r="AJ79" s="36"/>
      <c r="AK79" s="95"/>
      <c r="AL79" s="95"/>
      <c r="AM79" s="44"/>
    </row>
    <row r="80" spans="1:42" ht="15" hidden="1" outlineLevel="1" x14ac:dyDescent="0.35">
      <c r="A80" s="8"/>
      <c r="B80" s="9"/>
      <c r="C80" s="9" t="s">
        <v>10</v>
      </c>
      <c r="D80" s="11">
        <v>76015.600000000006</v>
      </c>
      <c r="E80" s="11">
        <v>946.85584057634185</v>
      </c>
      <c r="F80" s="11"/>
      <c r="G80" s="76"/>
      <c r="H80" s="76"/>
      <c r="I80" s="76"/>
      <c r="J80" s="11">
        <f xml:space="preserve"> E80</f>
        <v>946.85584057634185</v>
      </c>
      <c r="K80" s="11">
        <f t="shared" si="22"/>
        <v>36.050000000000004</v>
      </c>
      <c r="L80" s="76"/>
      <c r="M80" s="11">
        <f xml:space="preserve"> (D80 - (E80 * K80)) / N80</f>
        <v>815.23651754465141</v>
      </c>
      <c r="N80" s="18">
        <f xml:space="preserve"> H$24</f>
        <v>51.373369624513892</v>
      </c>
      <c r="O80" s="76"/>
      <c r="P80" s="76"/>
      <c r="Q80" s="76"/>
      <c r="R80" s="76"/>
      <c r="S80" s="11" t="s">
        <v>3</v>
      </c>
      <c r="T80" s="11"/>
      <c r="U80" s="20"/>
      <c r="V80" s="20"/>
      <c r="W80" s="20">
        <v>29.26</v>
      </c>
      <c r="X80" s="20">
        <v>6.79</v>
      </c>
      <c r="Y80" s="20">
        <v>61.6</v>
      </c>
      <c r="Z80" s="12"/>
      <c r="AA80" s="11"/>
      <c r="AB80" s="45"/>
      <c r="AC80" s="45"/>
      <c r="AD80" s="45">
        <f xml:space="preserve"> J80 * W80</f>
        <v>27705.001895263766</v>
      </c>
      <c r="AE80" s="45">
        <f xml:space="preserve"> J80 * X80</f>
        <v>6429.1511575133609</v>
      </c>
      <c r="AF80" s="45">
        <f xml:space="preserve"> M80 * Y80</f>
        <v>50218.569480750528</v>
      </c>
      <c r="AG80" s="45">
        <f xml:space="preserve"> P80 * Z80</f>
        <v>0</v>
      </c>
      <c r="AH80" s="44">
        <f t="shared" si="21"/>
        <v>84352.722533527645</v>
      </c>
      <c r="AI80" s="36"/>
      <c r="AJ80" s="36"/>
      <c r="AK80" s="95"/>
      <c r="AL80" s="95"/>
      <c r="AM80" s="44"/>
    </row>
    <row r="81" spans="1:42" ht="15" hidden="1" outlineLevel="1" x14ac:dyDescent="0.35">
      <c r="A81" s="8"/>
      <c r="B81" s="9"/>
      <c r="C81" s="9" t="s">
        <v>9</v>
      </c>
      <c r="D81" s="11">
        <v>48497.279999999999</v>
      </c>
      <c r="E81" s="11">
        <v>603.10720000000003</v>
      </c>
      <c r="F81" s="11"/>
      <c r="G81" s="76"/>
      <c r="H81" s="76"/>
      <c r="I81" s="76"/>
      <c r="J81" s="11">
        <f xml:space="preserve"> E81</f>
        <v>603.10720000000003</v>
      </c>
      <c r="K81" s="11">
        <f t="shared" si="22"/>
        <v>37.270000000000003</v>
      </c>
      <c r="L81" s="76"/>
      <c r="M81" s="11">
        <f xml:space="preserve"> (D81 - (E81 * K81)) / N81</f>
        <v>552.10072785699867</v>
      </c>
      <c r="N81" s="18">
        <f xml:space="preserve"> H$25</f>
        <v>47.128129602356509</v>
      </c>
      <c r="O81" s="76"/>
      <c r="P81" s="76"/>
      <c r="Q81" s="76"/>
      <c r="R81" s="76"/>
      <c r="S81" s="11" t="s">
        <v>3</v>
      </c>
      <c r="T81" s="11"/>
      <c r="U81" s="20"/>
      <c r="V81" s="20"/>
      <c r="W81" s="20">
        <v>30.16</v>
      </c>
      <c r="X81" s="20">
        <v>7.11</v>
      </c>
      <c r="Y81" s="20">
        <v>56.59</v>
      </c>
      <c r="Z81" s="12"/>
      <c r="AA81" s="11"/>
      <c r="AB81" s="45"/>
      <c r="AC81" s="45"/>
      <c r="AD81" s="45">
        <f xml:space="preserve"> J81 * W81</f>
        <v>18189.713152</v>
      </c>
      <c r="AE81" s="45">
        <f xml:space="preserve"> J81 * X81</f>
        <v>4288.0921920000001</v>
      </c>
      <c r="AF81" s="45">
        <f xml:space="preserve"> M81 * Y81</f>
        <v>31243.380189427557</v>
      </c>
      <c r="AG81" s="45">
        <f xml:space="preserve"> P81 * Z81</f>
        <v>0</v>
      </c>
      <c r="AH81" s="44">
        <f t="shared" si="21"/>
        <v>53721.185533427561</v>
      </c>
      <c r="AI81" s="36"/>
      <c r="AJ81" s="36"/>
      <c r="AK81" s="95"/>
      <c r="AL81" s="95"/>
      <c r="AM81" s="44"/>
    </row>
    <row r="82" spans="1:42" ht="15" hidden="1" outlineLevel="1" x14ac:dyDescent="0.35">
      <c r="A82" s="8"/>
      <c r="B82" s="9"/>
      <c r="C82" s="9" t="s">
        <v>11</v>
      </c>
      <c r="D82" s="11">
        <v>0</v>
      </c>
      <c r="E82" s="11">
        <v>0</v>
      </c>
      <c r="F82" s="11"/>
      <c r="G82" s="76"/>
      <c r="H82" s="76"/>
      <c r="I82" s="76"/>
      <c r="J82" s="11">
        <f xml:space="preserve"> E82</f>
        <v>0</v>
      </c>
      <c r="K82" s="11">
        <f t="shared" si="22"/>
        <v>32.799999999999997</v>
      </c>
      <c r="L82" s="76"/>
      <c r="M82" s="11">
        <f xml:space="preserve"> IFERROR((D82 - (E82 * K82)) / N82, 0)</f>
        <v>0</v>
      </c>
      <c r="N82" s="18">
        <f xml:space="preserve"> H$26</f>
        <v>47.128129602356204</v>
      </c>
      <c r="O82" s="76"/>
      <c r="P82" s="76"/>
      <c r="Q82" s="76"/>
      <c r="R82" s="76"/>
      <c r="S82" s="11" t="s">
        <v>3</v>
      </c>
      <c r="T82" s="11"/>
      <c r="U82" s="20"/>
      <c r="V82" s="20"/>
      <c r="W82" s="20">
        <v>26.62</v>
      </c>
      <c r="X82" s="20">
        <v>6.18</v>
      </c>
      <c r="Y82" s="20">
        <v>48.73</v>
      </c>
      <c r="Z82" s="12"/>
      <c r="AA82" s="11"/>
      <c r="AB82" s="45"/>
      <c r="AC82" s="45"/>
      <c r="AD82" s="45">
        <f xml:space="preserve"> J82 * W82</f>
        <v>0</v>
      </c>
      <c r="AE82" s="45">
        <f xml:space="preserve"> J82 * X82</f>
        <v>0</v>
      </c>
      <c r="AF82" s="45">
        <f xml:space="preserve"> M82 * Y82</f>
        <v>0</v>
      </c>
      <c r="AG82" s="45">
        <f xml:space="preserve"> P82 * Z82</f>
        <v>0</v>
      </c>
      <c r="AH82" s="44">
        <f t="shared" si="21"/>
        <v>0</v>
      </c>
      <c r="AI82" s="36"/>
      <c r="AJ82" s="36"/>
      <c r="AK82" s="95"/>
      <c r="AL82" s="95"/>
      <c r="AM82" s="44"/>
    </row>
    <row r="83" spans="1:42" ht="12" hidden="1" customHeight="1" outlineLevel="1" x14ac:dyDescent="0.35">
      <c r="A83" s="8"/>
      <c r="B83" s="10"/>
      <c r="C83" s="10"/>
      <c r="D83" s="11"/>
      <c r="E83" s="11"/>
      <c r="F83" s="11"/>
      <c r="G83" s="21"/>
      <c r="H83" s="23"/>
      <c r="I83" s="45"/>
      <c r="J83" s="21"/>
      <c r="K83" s="27"/>
      <c r="L83" s="45"/>
      <c r="M83" s="24"/>
      <c r="N83" s="23"/>
      <c r="O83" s="45"/>
      <c r="P83" s="75"/>
      <c r="Q83" s="75"/>
      <c r="R83" s="45"/>
      <c r="S83" s="11"/>
      <c r="T83" s="11"/>
      <c r="U83" s="11"/>
      <c r="V83" s="11"/>
      <c r="W83" s="11"/>
      <c r="X83" s="11"/>
      <c r="Y83" s="11"/>
      <c r="Z83" s="11"/>
      <c r="AA83" s="11"/>
      <c r="AB83" s="45"/>
      <c r="AC83" s="45"/>
      <c r="AD83" s="45"/>
      <c r="AE83" s="45"/>
      <c r="AF83" s="45"/>
      <c r="AG83" s="45"/>
      <c r="AH83" s="44"/>
      <c r="AI83" s="36"/>
      <c r="AJ83" s="36"/>
      <c r="AK83" s="11"/>
      <c r="AL83" s="11"/>
      <c r="AM83" s="44"/>
    </row>
    <row r="84" spans="1:42" s="52" customFormat="1" ht="15" collapsed="1" x14ac:dyDescent="0.35">
      <c r="A84" s="46" t="s">
        <v>6</v>
      </c>
      <c r="B84" s="74" t="s">
        <v>22</v>
      </c>
      <c r="C84" s="47"/>
      <c r="D84" s="48">
        <v>7860197.6619749991</v>
      </c>
      <c r="E84" s="48">
        <v>54297.657000514948</v>
      </c>
      <c r="F84" s="48"/>
      <c r="H84" s="48"/>
      <c r="I84" s="48"/>
      <c r="J84" s="56"/>
      <c r="K84" s="48"/>
      <c r="L84" s="48"/>
      <c r="M84" s="48"/>
      <c r="N84" s="55"/>
      <c r="O84" s="48"/>
      <c r="P84" s="48"/>
      <c r="Q84" s="48"/>
      <c r="R84" s="48"/>
      <c r="S84" s="48" t="s">
        <v>3</v>
      </c>
      <c r="T84" s="48"/>
      <c r="U84" s="48"/>
      <c r="V84" s="48"/>
      <c r="W84" s="48"/>
      <c r="X84" s="48"/>
      <c r="Y84" s="48"/>
      <c r="Z84" s="48"/>
      <c r="AA84" s="48"/>
      <c r="AB84" s="50">
        <f t="shared" ref="AB84" si="23">SUM(AB85:AB89)</f>
        <v>0</v>
      </c>
      <c r="AC84" s="50">
        <f>SUM(AC85:AC89)</f>
        <v>888678.87894331431</v>
      </c>
      <c r="AD84" s="50">
        <f t="shared" ref="AD84:AF84" si="24">SUM(AD85:AD89)</f>
        <v>1611314.1622887314</v>
      </c>
      <c r="AE84" s="50">
        <f t="shared" si="24"/>
        <v>756784.70641665009</v>
      </c>
      <c r="AF84" s="50">
        <f t="shared" si="24"/>
        <v>3314551.970645769</v>
      </c>
      <c r="AG84" s="50">
        <f>SUM(AG85:AG89)</f>
        <v>1790624.1345062172</v>
      </c>
      <c r="AH84" s="51">
        <f t="shared" ref="AH84:AH89" si="25">SUM(AB84:AG84)</f>
        <v>8361953.8528006822</v>
      </c>
      <c r="AI84" s="57">
        <f xml:space="preserve"> IF( AH84 &lt;&gt; 0, AH84- D84, 0)</f>
        <v>501756.19082568306</v>
      </c>
      <c r="AJ84" s="58">
        <f xml:space="preserve"> AI84 / D84</f>
        <v>6.3835060185955791E-2</v>
      </c>
      <c r="AK84" s="96">
        <f xml:space="preserve"> 100% * (1 + $AK$6) * (1 + $AK$7)</f>
        <v>1.0624506299999998</v>
      </c>
      <c r="AL84" s="96">
        <f xml:space="preserve"> 100% * (1 + $AL$6) * (1 + $AL$7)</f>
        <v>1.07985424</v>
      </c>
      <c r="AM84" s="51">
        <f xml:space="preserve"> (SUM( AB84, AF84) * AK84) + (SUM( AC84:AE84, AG84) * AL84)</f>
        <v>8972006.1528093014</v>
      </c>
      <c r="AN84" s="57">
        <f xml:space="preserve"> AM84 - AH84</f>
        <v>610052.3000086192</v>
      </c>
      <c r="AO84" s="58">
        <f xml:space="preserve"> (AM84 - AH84) / AH84</f>
        <v>7.2955712354749888E-2</v>
      </c>
      <c r="AP84" s="53"/>
    </row>
    <row r="85" spans="1:42" ht="15" hidden="1" outlineLevel="1" x14ac:dyDescent="0.35">
      <c r="A85" s="8"/>
      <c r="B85" s="80">
        <f xml:space="preserve"> D85 - I85 - L85 - O85 - R85</f>
        <v>0</v>
      </c>
      <c r="C85" s="9" t="s">
        <v>7</v>
      </c>
      <c r="D85" s="11">
        <v>5438501.4800749999</v>
      </c>
      <c r="E85" s="11">
        <v>36999.129875480117</v>
      </c>
      <c r="F85" s="11"/>
      <c r="G85" s="33">
        <f xml:space="preserve"> E85 * ( H85 / V85)</f>
        <v>17859.390882832111</v>
      </c>
      <c r="H85" s="11">
        <v>16.431026018654883</v>
      </c>
      <c r="I85" s="78">
        <f xml:space="preserve"> E85 * H85</f>
        <v>607933.665651605</v>
      </c>
      <c r="J85" s="11">
        <f xml:space="preserve"> E85</f>
        <v>36999.129875480117</v>
      </c>
      <c r="K85" s="11">
        <f t="shared" ref="K85:K89" si="26">W85 + X85</f>
        <v>44.38</v>
      </c>
      <c r="L85" s="78">
        <f xml:space="preserve"> J85 * K85</f>
        <v>1642021.3838738077</v>
      </c>
      <c r="M85" s="11">
        <f xml:space="preserve"> (D85 - I85 - L85 - R85) / N85</f>
        <v>38905.196194314616</v>
      </c>
      <c r="N85" s="18">
        <f xml:space="preserve"> H$50</f>
        <v>50.662739322533142</v>
      </c>
      <c r="O85" s="78">
        <f xml:space="preserve"> M85 * N85</f>
        <v>1971043.8130845698</v>
      </c>
      <c r="P85" s="11">
        <v>31218.015832436347</v>
      </c>
      <c r="Q85" s="11">
        <f xml:space="preserve"> Z85 * ( 1 - $Q$83)</f>
        <v>39</v>
      </c>
      <c r="R85" s="78">
        <f xml:space="preserve"> P85 * Q85</f>
        <v>1217502.6174650176</v>
      </c>
      <c r="S85" s="11" t="s">
        <v>3</v>
      </c>
      <c r="T85" s="11"/>
      <c r="U85" s="20"/>
      <c r="V85" s="20">
        <f xml:space="preserve"> V$64</f>
        <v>34.04</v>
      </c>
      <c r="W85" s="20">
        <v>30.16</v>
      </c>
      <c r="X85" s="20">
        <v>14.22</v>
      </c>
      <c r="Y85" s="20">
        <v>56.59</v>
      </c>
      <c r="Z85" s="12">
        <v>39</v>
      </c>
      <c r="AA85" s="11"/>
      <c r="AB85" s="45"/>
      <c r="AC85" s="45">
        <f xml:space="preserve"> (G85 * V85) * ( 1 + $AQ$8)</f>
        <v>628975.03320610675</v>
      </c>
      <c r="AD85" s="45">
        <f xml:space="preserve"> J85 * W85</f>
        <v>1115893.7570444804</v>
      </c>
      <c r="AE85" s="45">
        <f xml:space="preserve"> J85 * X85</f>
        <v>526127.62682932732</v>
      </c>
      <c r="AF85" s="45">
        <f xml:space="preserve"> (M85 * Y85) * ( 1 + $AQ$8)</f>
        <v>2277846.8249586057</v>
      </c>
      <c r="AG85" s="45">
        <f xml:space="preserve"> P85 * Z85</f>
        <v>1217502.6174650176</v>
      </c>
      <c r="AH85" s="44">
        <f t="shared" si="25"/>
        <v>5766345.8595035374</v>
      </c>
      <c r="AI85" s="59"/>
      <c r="AJ85" s="36"/>
      <c r="AK85" s="95"/>
      <c r="AL85" s="95"/>
      <c r="AM85" s="44"/>
    </row>
    <row r="86" spans="1:42" ht="15" hidden="1" outlineLevel="1" x14ac:dyDescent="0.35">
      <c r="A86" s="8"/>
      <c r="B86" s="80">
        <f t="shared" ref="B86:B89" si="27" xml:space="preserve"> D86 - I86 - L86 - O86 - R86</f>
        <v>0</v>
      </c>
      <c r="C86" s="9" t="s">
        <v>8</v>
      </c>
      <c r="D86" s="11">
        <v>704321.47912000038</v>
      </c>
      <c r="E86" s="11">
        <v>5044.6791702059945</v>
      </c>
      <c r="F86" s="11"/>
      <c r="G86" s="33">
        <f xml:space="preserve"> E86 * ( H86 / V86)</f>
        <v>2310.7049470313468</v>
      </c>
      <c r="H86" s="11">
        <v>14.950685053777839</v>
      </c>
      <c r="I86" s="78">
        <f xml:space="preserve"> E86 * H86</f>
        <v>75421.40947110315</v>
      </c>
      <c r="J86" s="11">
        <f xml:space="preserve"> E86</f>
        <v>5044.6791702059945</v>
      </c>
      <c r="K86" s="11">
        <f t="shared" si="26"/>
        <v>38.97</v>
      </c>
      <c r="L86" s="78">
        <f xml:space="preserve"> J86 * K86</f>
        <v>196591.14726292761</v>
      </c>
      <c r="M86" s="11">
        <f xml:space="preserve"> (D86 - I86 - L86 - R86) / N86</f>
        <v>5256.475508479537</v>
      </c>
      <c r="N86" s="18">
        <f xml:space="preserve"> H$51</f>
        <v>50.662739322533149</v>
      </c>
      <c r="O86" s="78">
        <f xml:space="preserve"> M86 * N86</f>
        <v>266307.44844137866</v>
      </c>
      <c r="P86" s="11">
        <v>4256.4480498613075</v>
      </c>
      <c r="Q86" s="11">
        <f t="shared" ref="Q86:Q89" si="28" xml:space="preserve"> Z86 * ( 1 - $Q$83)</f>
        <v>39</v>
      </c>
      <c r="R86" s="78">
        <f xml:space="preserve"> P86 * Q86</f>
        <v>166001.47394459098</v>
      </c>
      <c r="S86" s="11" t="s">
        <v>3</v>
      </c>
      <c r="T86" s="11"/>
      <c r="U86" s="20"/>
      <c r="V86" s="20">
        <f xml:space="preserve"> V$65</f>
        <v>32.64</v>
      </c>
      <c r="W86" s="20">
        <v>26.62</v>
      </c>
      <c r="X86" s="20">
        <v>12.35</v>
      </c>
      <c r="Y86" s="20">
        <v>48.73</v>
      </c>
      <c r="Z86" s="12">
        <v>39</v>
      </c>
      <c r="AA86" s="11"/>
      <c r="AB86" s="45"/>
      <c r="AC86" s="45">
        <f xml:space="preserve"> (G86 * V86) * ( 1 + $AQ$8)</f>
        <v>78031.841641295759</v>
      </c>
      <c r="AD86" s="45">
        <f xml:space="preserve"> J86 * W86</f>
        <v>134289.35951088357</v>
      </c>
      <c r="AE86" s="45">
        <f xml:space="preserve"> J86 * X86</f>
        <v>62301.787752044031</v>
      </c>
      <c r="AF86" s="45">
        <f xml:space="preserve"> (M86 * Y86) * ( 1 + $AQ$8)</f>
        <v>265013.6656652331</v>
      </c>
      <c r="AG86" s="45">
        <f xml:space="preserve"> P86 * Z86</f>
        <v>166001.47394459098</v>
      </c>
      <c r="AH86" s="44">
        <f t="shared" si="25"/>
        <v>705638.12851404748</v>
      </c>
      <c r="AI86" s="59"/>
      <c r="AJ86" s="36"/>
      <c r="AK86" s="95"/>
      <c r="AL86" s="95"/>
      <c r="AM86" s="44"/>
    </row>
    <row r="87" spans="1:42" ht="15" hidden="1" outlineLevel="1" x14ac:dyDescent="0.35">
      <c r="A87" s="8"/>
      <c r="B87" s="80">
        <f t="shared" si="27"/>
        <v>0</v>
      </c>
      <c r="C87" s="9" t="s">
        <v>10</v>
      </c>
      <c r="D87" s="11">
        <v>1052048.1505</v>
      </c>
      <c r="E87" s="11">
        <v>7962.9605665164654</v>
      </c>
      <c r="F87" s="11"/>
      <c r="G87" s="33">
        <f xml:space="preserve"> E87 * ( H87 / V87)</f>
        <v>2649.7464860051341</v>
      </c>
      <c r="H87" s="11">
        <v>11.327115038455245</v>
      </c>
      <c r="I87" s="78">
        <f xml:space="preserve"> E87 * H87</f>
        <v>90197.370383614762</v>
      </c>
      <c r="J87" s="11">
        <f xml:space="preserve"> E87</f>
        <v>7962.9605665164654</v>
      </c>
      <c r="K87" s="11">
        <f t="shared" si="26"/>
        <v>42.85</v>
      </c>
      <c r="L87" s="78">
        <f xml:space="preserve"> J87 * K87</f>
        <v>341212.86027523055</v>
      </c>
      <c r="M87" s="11">
        <f xml:space="preserve"> (D87 - I87 - L87 - R87) / N87</f>
        <v>7837.7891319776363</v>
      </c>
      <c r="N87" s="18">
        <f xml:space="preserve"> H$52</f>
        <v>45.753559155621019</v>
      </c>
      <c r="O87" s="78">
        <f xml:space="preserve"> M87 * N87</f>
        <v>358606.74869922228</v>
      </c>
      <c r="P87" s="11">
        <v>6718.7479779982677</v>
      </c>
      <c r="Q87" s="11">
        <f t="shared" si="28"/>
        <v>39</v>
      </c>
      <c r="R87" s="78">
        <f xml:space="preserve"> P87 * Q87</f>
        <v>262031.17114193243</v>
      </c>
      <c r="S87" s="11" t="s">
        <v>3</v>
      </c>
      <c r="T87" s="11"/>
      <c r="U87" s="20"/>
      <c r="V87" s="20">
        <f xml:space="preserve"> V$66</f>
        <v>34.04</v>
      </c>
      <c r="W87" s="20">
        <v>29.26</v>
      </c>
      <c r="X87" s="20">
        <v>13.59</v>
      </c>
      <c r="Y87" s="20">
        <v>61.6</v>
      </c>
      <c r="Z87" s="12">
        <v>39</v>
      </c>
      <c r="AA87" s="11"/>
      <c r="AB87" s="45"/>
      <c r="AC87" s="45">
        <f xml:space="preserve"> (G87 * V87) * ( 1 + $AQ$8)</f>
        <v>93319.217601365002</v>
      </c>
      <c r="AD87" s="45">
        <f xml:space="preserve"> J87 * W87</f>
        <v>232996.2261762718</v>
      </c>
      <c r="AE87" s="45">
        <f xml:space="preserve"> J87 * X87</f>
        <v>108216.63409895876</v>
      </c>
      <c r="AF87" s="45">
        <f xml:space="preserve"> (M87 * Y87) * ( 1 + $AQ$8)</f>
        <v>499518.41100076941</v>
      </c>
      <c r="AG87" s="45">
        <f xml:space="preserve"> P87 * Z87</f>
        <v>262031.17114193243</v>
      </c>
      <c r="AH87" s="44">
        <f t="shared" si="25"/>
        <v>1196081.6600192974</v>
      </c>
      <c r="AI87" s="59"/>
      <c r="AJ87" s="36"/>
      <c r="AK87" s="95"/>
      <c r="AL87" s="95"/>
      <c r="AM87" s="44"/>
    </row>
    <row r="88" spans="1:42" ht="15" hidden="1" outlineLevel="1" x14ac:dyDescent="0.35">
      <c r="A88" s="8"/>
      <c r="B88" s="80">
        <f t="shared" si="27"/>
        <v>0</v>
      </c>
      <c r="C88" s="9" t="s">
        <v>9</v>
      </c>
      <c r="D88" s="11">
        <v>449024.71988000011</v>
      </c>
      <c r="E88" s="11">
        <v>3040.4011964069518</v>
      </c>
      <c r="F88" s="11"/>
      <c r="G88" s="33">
        <f xml:space="preserve"> E88 * ( H88 / V88)</f>
        <v>1729.8683322767181</v>
      </c>
      <c r="H88" s="11">
        <v>19.367417069920752</v>
      </c>
      <c r="I88" s="78">
        <f xml:space="preserve"> E88 * H88</f>
        <v>58884.718030699478</v>
      </c>
      <c r="J88" s="11">
        <f xml:space="preserve"> E88</f>
        <v>3040.4011964069518</v>
      </c>
      <c r="K88" s="11">
        <f t="shared" si="26"/>
        <v>44.38</v>
      </c>
      <c r="L88" s="78">
        <f xml:space="preserve"> J88 * K88</f>
        <v>134933.00509654052</v>
      </c>
      <c r="M88" s="11">
        <f xml:space="preserve"> (D88 - I88 - L88 - R88) / N88</f>
        <v>3062.5820269154742</v>
      </c>
      <c r="N88" s="18">
        <f xml:space="preserve"> H$53</f>
        <v>50.662739322533142</v>
      </c>
      <c r="O88" s="78">
        <f xml:space="preserve"> M88 * N88</f>
        <v>155158.79488349386</v>
      </c>
      <c r="P88" s="11">
        <v>2565.3385094683658</v>
      </c>
      <c r="Q88" s="11">
        <f t="shared" si="28"/>
        <v>39</v>
      </c>
      <c r="R88" s="78">
        <f xml:space="preserve"> P88 * Q88</f>
        <v>100048.20186926627</v>
      </c>
      <c r="S88" s="11" t="s">
        <v>3</v>
      </c>
      <c r="T88" s="11"/>
      <c r="U88" s="20"/>
      <c r="V88" s="20">
        <f xml:space="preserve"> V$67</f>
        <v>34.04</v>
      </c>
      <c r="W88" s="20">
        <v>30.16</v>
      </c>
      <c r="X88" s="20">
        <v>14.22</v>
      </c>
      <c r="Y88" s="20">
        <v>56.59</v>
      </c>
      <c r="Z88" s="12">
        <v>39</v>
      </c>
      <c r="AA88" s="11"/>
      <c r="AB88" s="45"/>
      <c r="AC88" s="45">
        <f xml:space="preserve"> (G88 * V88) * ( 1 + $AQ$8)</f>
        <v>60922.794000878115</v>
      </c>
      <c r="AD88" s="45">
        <f xml:space="preserve"> J88 * W88</f>
        <v>91698.500083633669</v>
      </c>
      <c r="AE88" s="45">
        <f xml:space="preserve"> J88 * X88</f>
        <v>43234.505012906855</v>
      </c>
      <c r="AF88" s="45">
        <f xml:space="preserve"> (M88 * Y88) * ( 1 + $AQ$8)</f>
        <v>179310.05183323429</v>
      </c>
      <c r="AG88" s="45">
        <f xml:space="preserve"> P88 * Z88</f>
        <v>100048.20186926627</v>
      </c>
      <c r="AH88" s="44">
        <f t="shared" si="25"/>
        <v>475214.05279991921</v>
      </c>
      <c r="AI88" s="59"/>
      <c r="AJ88" s="36"/>
      <c r="AK88" s="95"/>
      <c r="AL88" s="95"/>
      <c r="AM88" s="44"/>
    </row>
    <row r="89" spans="1:42" ht="15" hidden="1" outlineLevel="1" x14ac:dyDescent="0.35">
      <c r="A89" s="8"/>
      <c r="B89" s="80">
        <f t="shared" si="27"/>
        <v>0</v>
      </c>
      <c r="C89" s="9" t="s">
        <v>11</v>
      </c>
      <c r="D89" s="11">
        <v>218209.87720000002</v>
      </c>
      <c r="E89" s="11">
        <v>1368.7573055395219</v>
      </c>
      <c r="F89" s="11"/>
      <c r="G89" s="33">
        <f xml:space="preserve"> E89 * ( H89 / V89)</f>
        <v>868.97297163033488</v>
      </c>
      <c r="H89" s="11">
        <v>19.369661266568482</v>
      </c>
      <c r="I89" s="78">
        <f xml:space="preserve"> E89 * H89</f>
        <v>26512.365364441517</v>
      </c>
      <c r="J89" s="11">
        <f xml:space="preserve"> E89</f>
        <v>1368.7573055395219</v>
      </c>
      <c r="K89" s="11">
        <f t="shared" si="26"/>
        <v>38.97</v>
      </c>
      <c r="L89" s="78">
        <f xml:space="preserve"> J89 * K89</f>
        <v>53340.472196875169</v>
      </c>
      <c r="M89" s="11">
        <f xml:space="preserve"> (D89 - I89 - L89 - R89) / N89</f>
        <v>1841.9132246125776</v>
      </c>
      <c r="N89" s="22">
        <f xml:space="preserve"> H$53</f>
        <v>50.662739322533142</v>
      </c>
      <c r="O89" s="78">
        <f xml:space="preserve"> M89 * N89</f>
        <v>93316.369553273456</v>
      </c>
      <c r="P89" s="11">
        <v>1154.8889765489716</v>
      </c>
      <c r="Q89" s="11">
        <f t="shared" si="28"/>
        <v>39</v>
      </c>
      <c r="R89" s="78">
        <f xml:space="preserve"> P89 * Q89</f>
        <v>45040.670085409896</v>
      </c>
      <c r="S89" s="11" t="s">
        <v>3</v>
      </c>
      <c r="T89" s="11"/>
      <c r="U89" s="20"/>
      <c r="V89" s="20">
        <f xml:space="preserve"> V$68</f>
        <v>30.51</v>
      </c>
      <c r="W89" s="20">
        <v>26.62</v>
      </c>
      <c r="X89" s="20">
        <v>12.35</v>
      </c>
      <c r="Y89" s="20">
        <v>48.73</v>
      </c>
      <c r="Z89" s="12">
        <v>39</v>
      </c>
      <c r="AA89" s="11"/>
      <c r="AB89" s="45"/>
      <c r="AC89" s="45">
        <f xml:space="preserve"> (G89 * V89) * ( 1 + $AQ$8)</f>
        <v>27429.992493668728</v>
      </c>
      <c r="AD89" s="45">
        <f xml:space="preserve"> J89 * W89</f>
        <v>36436.319473462077</v>
      </c>
      <c r="AE89" s="45">
        <f xml:space="preserve"> J89 * X89</f>
        <v>16904.152723413095</v>
      </c>
      <c r="AF89" s="45">
        <f xml:space="preserve"> (M89 * Y89) * ( 1 + $AQ$8)</f>
        <v>92863.017187926336</v>
      </c>
      <c r="AG89" s="45">
        <f xml:space="preserve"> P89 * Z89</f>
        <v>45040.670085409896</v>
      </c>
      <c r="AH89" s="44">
        <f t="shared" si="25"/>
        <v>218674.15196388011</v>
      </c>
      <c r="AI89" s="59"/>
      <c r="AJ89" s="36"/>
      <c r="AK89" s="95"/>
      <c r="AL89" s="95"/>
      <c r="AM89" s="44"/>
    </row>
    <row r="90" spans="1:42" ht="4.95" customHeight="1" collapsed="1" x14ac:dyDescent="0.35">
      <c r="A90" s="8"/>
      <c r="B90" s="10"/>
      <c r="C90" s="10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45"/>
      <c r="AC90" s="45"/>
      <c r="AD90" s="45"/>
      <c r="AE90" s="45"/>
      <c r="AF90" s="45"/>
      <c r="AG90" s="45"/>
      <c r="AH90" s="44"/>
      <c r="AI90" s="36"/>
      <c r="AJ90" s="36"/>
      <c r="AK90" s="11"/>
      <c r="AL90" s="11"/>
      <c r="AM90" s="44"/>
    </row>
    <row r="91" spans="1:42" s="52" customFormat="1" ht="15" x14ac:dyDescent="0.35">
      <c r="A91" s="46" t="s">
        <v>6</v>
      </c>
      <c r="B91" s="74" t="s">
        <v>23</v>
      </c>
      <c r="C91" s="47"/>
      <c r="D91" s="48">
        <v>4060680.3020250001</v>
      </c>
      <c r="E91" s="48">
        <v>26757.672020275408</v>
      </c>
      <c r="F91" s="48"/>
      <c r="G91" s="48"/>
      <c r="H91" s="48"/>
      <c r="I91" s="48"/>
      <c r="J91" s="56"/>
      <c r="K91" s="48"/>
      <c r="L91" s="48"/>
      <c r="M91" s="48"/>
      <c r="N91" s="55"/>
      <c r="O91" s="48"/>
      <c r="P91" s="48"/>
      <c r="Q91" s="48"/>
      <c r="R91" s="48"/>
      <c r="S91" s="48" t="s">
        <v>3</v>
      </c>
      <c r="T91" s="48"/>
      <c r="U91" s="48"/>
      <c r="V91" s="48"/>
      <c r="W91" s="48"/>
      <c r="X91" s="48"/>
      <c r="Y91" s="48"/>
      <c r="Z91" s="48"/>
      <c r="AA91" s="48"/>
      <c r="AB91" s="50">
        <f t="shared" ref="AB91" si="29">SUM(AB92:AB96)</f>
        <v>0</v>
      </c>
      <c r="AC91" s="50">
        <f t="shared" ref="AC91:AF91" si="30">SUM(AC92:AC96)</f>
        <v>466285.02107604715</v>
      </c>
      <c r="AD91" s="50">
        <f t="shared" si="30"/>
        <v>1312379.9568806249</v>
      </c>
      <c r="AE91" s="50">
        <f t="shared" si="30"/>
        <v>757587.07375381386</v>
      </c>
      <c r="AF91" s="50">
        <f t="shared" si="30"/>
        <v>737062.75009705639</v>
      </c>
      <c r="AG91" s="50">
        <f>SUM(AG92:AG96)</f>
        <v>895359.91996853682</v>
      </c>
      <c r="AH91" s="51">
        <f t="shared" ref="AH91:AH96" si="31">SUM(AB91:AG91)</f>
        <v>4168674.7217760794</v>
      </c>
      <c r="AI91" s="57">
        <f xml:space="preserve"> IF( AH91 &lt;&gt; 0, AH91- D91, 0)</f>
        <v>107994.41975107929</v>
      </c>
      <c r="AJ91" s="58">
        <f xml:space="preserve"> AI91 / D91</f>
        <v>2.659515443686224E-2</v>
      </c>
      <c r="AK91" s="96">
        <f xml:space="preserve"> 100% * (1 + $AK$6) * (1 + $AK$7)</f>
        <v>1.0624506299999998</v>
      </c>
      <c r="AL91" s="96">
        <f xml:space="preserve"> 100% * (1 + $AL$6) * (1 + $AL$7)</f>
        <v>1.07985424</v>
      </c>
      <c r="AM91" s="51">
        <f xml:space="preserve"> (SUM( AB91, AF91) * AK91) + (SUM( AC91:AE91, AG91) * AL91)</f>
        <v>4488733.5208425019</v>
      </c>
      <c r="AN91" s="57">
        <f xml:space="preserve"> AM91 - AH91</f>
        <v>320058.79906642251</v>
      </c>
      <c r="AO91" s="58">
        <f xml:space="preserve"> (AM91 - AH91) / AH91</f>
        <v>7.677711033545459E-2</v>
      </c>
      <c r="AP91" s="53"/>
    </row>
    <row r="92" spans="1:42" ht="15" hidden="1" outlineLevel="1" x14ac:dyDescent="0.35">
      <c r="A92" s="8"/>
      <c r="B92" s="80">
        <f xml:space="preserve"> D92 - I92 - L92 - O92 - R92</f>
        <v>0</v>
      </c>
      <c r="C92" s="9" t="s">
        <v>7</v>
      </c>
      <c r="D92" s="11">
        <v>2878967.109925</v>
      </c>
      <c r="E92" s="11">
        <v>18782.667768587002</v>
      </c>
      <c r="F92" s="11"/>
      <c r="G92" s="11">
        <f xml:space="preserve"> E92 * ( H92 / V92)</f>
        <v>8291.2451609663294</v>
      </c>
      <c r="H92" s="11">
        <v>15.0262991794656</v>
      </c>
      <c r="I92" s="78">
        <f xml:space="preserve"> E92 * H92</f>
        <v>282233.98527929385</v>
      </c>
      <c r="J92" s="11">
        <f xml:space="preserve"> E92</f>
        <v>18782.667768587002</v>
      </c>
      <c r="K92" s="11">
        <f t="shared" ref="K92:K96" si="32">W92 + X92</f>
        <v>77.570000000000007</v>
      </c>
      <c r="L92" s="78">
        <f xml:space="preserve"> J92 * K92</f>
        <v>1456971.5388092939</v>
      </c>
      <c r="M92" s="11">
        <f xml:space="preserve"> (D92 - I92 - L92 - R92) / N92</f>
        <v>10297.398671143579</v>
      </c>
      <c r="N92" s="18">
        <f xml:space="preserve"> H$50</f>
        <v>50.662739322533142</v>
      </c>
      <c r="O92" s="78">
        <f xml:space="preserve"> M92 * N92</f>
        <v>521694.4245763463</v>
      </c>
      <c r="P92" s="11">
        <v>15847.875929745283</v>
      </c>
      <c r="Q92" s="11">
        <f xml:space="preserve"> Z92 * ( 1 - $Q$83)</f>
        <v>39</v>
      </c>
      <c r="R92" s="78">
        <f xml:space="preserve"> P92 * Q92</f>
        <v>618067.16126006609</v>
      </c>
      <c r="S92" s="11" t="s">
        <v>3</v>
      </c>
      <c r="T92" s="11"/>
      <c r="U92" s="20"/>
      <c r="V92" s="20">
        <f xml:space="preserve"> V$64</f>
        <v>34.04</v>
      </c>
      <c r="W92" s="20">
        <v>49.13</v>
      </c>
      <c r="X92" s="20">
        <v>28.44</v>
      </c>
      <c r="Y92" s="20">
        <v>56.59</v>
      </c>
      <c r="Z92" s="12">
        <v>39</v>
      </c>
      <c r="AA92" s="11"/>
      <c r="AB92" s="45"/>
      <c r="AC92" s="45">
        <f xml:space="preserve"> (G92 * V92) * ( 1 + $AQ$8)</f>
        <v>292002.46719790623</v>
      </c>
      <c r="AD92" s="45">
        <f xml:space="preserve"> J92 * W92</f>
        <v>922792.46747067943</v>
      </c>
      <c r="AE92" s="45">
        <f xml:space="preserve"> J92 * X92</f>
        <v>534179.07133861433</v>
      </c>
      <c r="AF92" s="45">
        <f xml:space="preserve"> (M92 * Y92) * ( 1 + $AQ$8)</f>
        <v>602898.81976806687</v>
      </c>
      <c r="AG92" s="45">
        <f xml:space="preserve"> P92 * Z92</f>
        <v>618067.16126006609</v>
      </c>
      <c r="AH92" s="44">
        <f t="shared" si="31"/>
        <v>2969939.9870353332</v>
      </c>
      <c r="AI92" s="36"/>
      <c r="AJ92" s="60"/>
      <c r="AK92" s="95"/>
      <c r="AL92" s="95"/>
      <c r="AM92" s="44"/>
    </row>
    <row r="93" spans="1:42" ht="15" hidden="1" outlineLevel="1" x14ac:dyDescent="0.35">
      <c r="A93" s="8"/>
      <c r="B93" s="80">
        <f t="shared" ref="B93:B96" si="33" xml:space="preserve"> D93 - I93 - L93 - O93 - R93</f>
        <v>0</v>
      </c>
      <c r="C93" s="9" t="s">
        <v>8</v>
      </c>
      <c r="D93" s="11">
        <v>325895.43288000021</v>
      </c>
      <c r="E93" s="11">
        <v>2477.3247760586437</v>
      </c>
      <c r="F93" s="11"/>
      <c r="G93" s="11">
        <f xml:space="preserve"> E93 * ( H93 / V93)</f>
        <v>1339.1210589923978</v>
      </c>
      <c r="H93" s="11">
        <v>17.643593519882181</v>
      </c>
      <c r="I93" s="78">
        <f xml:space="preserve"> E93 * H93</f>
        <v>43708.911365511864</v>
      </c>
      <c r="J93" s="11">
        <f xml:space="preserve"> E93</f>
        <v>2477.3247760586437</v>
      </c>
      <c r="K93" s="11">
        <f t="shared" si="32"/>
        <v>67.760000000000005</v>
      </c>
      <c r="L93" s="78">
        <f xml:space="preserve"> J93 * K93</f>
        <v>167863.52682573372</v>
      </c>
      <c r="M93" s="11">
        <f xml:space="preserve"> (D93 - I93 - L93 - R93) / N93</f>
        <v>647.48820761030015</v>
      </c>
      <c r="N93" s="18">
        <f xml:space="preserve"> H$51</f>
        <v>50.662739322533149</v>
      </c>
      <c r="O93" s="78">
        <f xml:space="preserve"> M93 * N93</f>
        <v>32803.526276574863</v>
      </c>
      <c r="P93" s="11">
        <v>2090.2427797994806</v>
      </c>
      <c r="Q93" s="11">
        <f t="shared" ref="Q93:Q96" si="34" xml:space="preserve"> Z93 * ( 1 - $Q$83)</f>
        <v>39</v>
      </c>
      <c r="R93" s="78">
        <f xml:space="preserve"> P93 * Q93</f>
        <v>81519.468412179747</v>
      </c>
      <c r="S93" s="11" t="s">
        <v>3</v>
      </c>
      <c r="T93" s="11"/>
      <c r="U93" s="20"/>
      <c r="V93" s="20">
        <f xml:space="preserve"> V$65</f>
        <v>32.64</v>
      </c>
      <c r="W93" s="20">
        <v>43.06</v>
      </c>
      <c r="X93" s="20">
        <v>24.7</v>
      </c>
      <c r="Y93" s="20">
        <v>48.73</v>
      </c>
      <c r="Z93" s="12">
        <v>39</v>
      </c>
      <c r="AA93" s="11"/>
      <c r="AB93" s="45"/>
      <c r="AC93" s="45">
        <f xml:space="preserve"> (G93 * V93) * ( 1 + $AQ$8)</f>
        <v>45221.733111389534</v>
      </c>
      <c r="AD93" s="45">
        <f xml:space="preserve"> J93 * W93</f>
        <v>106673.6048570852</v>
      </c>
      <c r="AE93" s="45">
        <f xml:space="preserve"> J93 * X93</f>
        <v>61189.921968648494</v>
      </c>
      <c r="AF93" s="45">
        <f xml:space="preserve"> (M93 * Y93) * ( 1 + $AQ$8)</f>
        <v>32644.159208391589</v>
      </c>
      <c r="AG93" s="45">
        <f xml:space="preserve"> P93 * Z93</f>
        <v>81519.468412179747</v>
      </c>
      <c r="AH93" s="44">
        <f t="shared" si="31"/>
        <v>327248.88755769457</v>
      </c>
      <c r="AI93" s="36"/>
      <c r="AJ93" s="36"/>
      <c r="AK93" s="95"/>
      <c r="AL93" s="95"/>
      <c r="AM93" s="44"/>
    </row>
    <row r="94" spans="1:42" ht="15" hidden="1" outlineLevel="1" x14ac:dyDescent="0.35">
      <c r="A94" s="8"/>
      <c r="B94" s="80">
        <f t="shared" si="33"/>
        <v>0</v>
      </c>
      <c r="C94" s="9" t="s">
        <v>10</v>
      </c>
      <c r="D94" s="11">
        <v>439593.89950000006</v>
      </c>
      <c r="E94" s="11">
        <v>3195.2111651068403</v>
      </c>
      <c r="F94" s="11"/>
      <c r="G94" s="11">
        <f xml:space="preserve"> E94 * ( H94 / V94)</f>
        <v>2208.1867217913918</v>
      </c>
      <c r="H94" s="11">
        <v>23.524791359842908</v>
      </c>
      <c r="I94" s="78">
        <f xml:space="preserve"> E94 * H94</f>
        <v>75166.676009778996</v>
      </c>
      <c r="J94" s="11">
        <f xml:space="preserve"> E94</f>
        <v>3195.2111651068403</v>
      </c>
      <c r="K94" s="11">
        <f t="shared" si="32"/>
        <v>74.849999999999994</v>
      </c>
      <c r="L94" s="78">
        <f xml:space="preserve"> J94 * K94</f>
        <v>239161.55570824697</v>
      </c>
      <c r="M94" s="11">
        <f xml:space="preserve"> (D94 - I94 - L94 - R94) / N94</f>
        <v>439.81825133498739</v>
      </c>
      <c r="N94" s="18">
        <f xml:space="preserve"> H$52</f>
        <v>45.753559155621019</v>
      </c>
      <c r="O94" s="78">
        <f xml:space="preserve"> M94 * N94</f>
        <v>20123.250380177138</v>
      </c>
      <c r="P94" s="11">
        <v>2695.9594205588965</v>
      </c>
      <c r="Q94" s="11">
        <f t="shared" si="34"/>
        <v>39</v>
      </c>
      <c r="R94" s="78">
        <f xml:space="preserve"> P94 * Q94</f>
        <v>105142.41740179696</v>
      </c>
      <c r="S94" s="11" t="s">
        <v>3</v>
      </c>
      <c r="T94" s="11"/>
      <c r="U94" s="20"/>
      <c r="V94" s="20">
        <f xml:space="preserve"> V$66</f>
        <v>34.04</v>
      </c>
      <c r="W94" s="20">
        <v>47.68</v>
      </c>
      <c r="X94" s="20">
        <v>27.17</v>
      </c>
      <c r="Y94" s="20">
        <v>61.6</v>
      </c>
      <c r="Z94" s="12">
        <v>39</v>
      </c>
      <c r="AA94" s="11"/>
      <c r="AB94" s="45"/>
      <c r="AC94" s="45">
        <f xml:space="preserve"> (G94 * V94) * ( 1 + $AQ$8)</f>
        <v>77768.291526624365</v>
      </c>
      <c r="AD94" s="45">
        <f xml:space="preserve"> J94 * W94</f>
        <v>152347.66835229416</v>
      </c>
      <c r="AE94" s="45">
        <f xml:space="preserve"> J94 * X94</f>
        <v>86813.887355952858</v>
      </c>
      <c r="AF94" s="45">
        <f xml:space="preserve"> (M94 * Y94) * ( 1 + $AQ$8)</f>
        <v>28030.521150363707</v>
      </c>
      <c r="AG94" s="45">
        <f xml:space="preserve"> P94 * Z94</f>
        <v>105142.41740179696</v>
      </c>
      <c r="AH94" s="44">
        <f t="shared" si="31"/>
        <v>450102.7857870321</v>
      </c>
      <c r="AI94" s="36"/>
      <c r="AJ94" s="36"/>
      <c r="AK94" s="95"/>
      <c r="AL94" s="95"/>
      <c r="AM94" s="44"/>
    </row>
    <row r="95" spans="1:42" ht="15" hidden="1" outlineLevel="1" x14ac:dyDescent="0.35">
      <c r="A95" s="30"/>
      <c r="B95" s="80">
        <f t="shared" si="33"/>
        <v>0</v>
      </c>
      <c r="C95" s="9" t="s">
        <v>9</v>
      </c>
      <c r="D95" s="11">
        <v>286666.49212000007</v>
      </c>
      <c r="E95" s="11">
        <v>1971.9501167003937</v>
      </c>
      <c r="F95" s="11"/>
      <c r="G95" s="11">
        <f xml:space="preserve"> E95 * ( H95 / V95)</f>
        <v>1011.2932221277979</v>
      </c>
      <c r="H95" s="11">
        <v>17.457044673539517</v>
      </c>
      <c r="I95" s="78">
        <f xml:space="preserve"> E95 * H95</f>
        <v>34424.421281230236</v>
      </c>
      <c r="J95" s="11">
        <f xml:space="preserve"> E95</f>
        <v>1971.9501167003937</v>
      </c>
      <c r="K95" s="11">
        <f t="shared" si="32"/>
        <v>77.570000000000007</v>
      </c>
      <c r="L95" s="78">
        <f xml:space="preserve"> J95 * K95</f>
        <v>152964.17055244956</v>
      </c>
      <c r="M95" s="11">
        <f xml:space="preserve"> (D95 - I95 - L95 - R95) / N95</f>
        <v>678.77136567215007</v>
      </c>
      <c r="N95" s="18">
        <f xml:space="preserve"> H$53</f>
        <v>50.662739322533142</v>
      </c>
      <c r="O95" s="78">
        <f xml:space="preserve"> M95 * N95</f>
        <v>34388.41675864796</v>
      </c>
      <c r="P95" s="11">
        <v>1663.8329109659569</v>
      </c>
      <c r="Q95" s="11">
        <f t="shared" si="34"/>
        <v>39</v>
      </c>
      <c r="R95" s="78">
        <f xml:space="preserve"> P95 * Q95</f>
        <v>64889.483527672317</v>
      </c>
      <c r="S95" s="11" t="s">
        <v>3</v>
      </c>
      <c r="T95" s="11"/>
      <c r="U95" s="20"/>
      <c r="V95" s="20">
        <f xml:space="preserve"> V$67</f>
        <v>34.04</v>
      </c>
      <c r="W95" s="20">
        <v>49.13</v>
      </c>
      <c r="X95" s="20">
        <v>28.44</v>
      </c>
      <c r="Y95" s="20">
        <v>56.59</v>
      </c>
      <c r="Z95" s="12">
        <v>39</v>
      </c>
      <c r="AA95" s="11"/>
      <c r="AB95" s="45"/>
      <c r="AC95" s="45">
        <f xml:space="preserve"> (G95 * V95) * ( 1 + $AQ$8)</f>
        <v>35615.894861251516</v>
      </c>
      <c r="AD95" s="45">
        <f xml:space="preserve"> J95 * W95</f>
        <v>96881.90923349034</v>
      </c>
      <c r="AE95" s="45">
        <f xml:space="preserve"> J95 * X95</f>
        <v>56082.261318959201</v>
      </c>
      <c r="AF95" s="45">
        <f xml:space="preserve"> (M95 * Y95) * ( 1 + $AQ$8)</f>
        <v>39741.149034356175</v>
      </c>
      <c r="AG95" s="45">
        <f xml:space="preserve"> P95 * Z95</f>
        <v>64889.483527672317</v>
      </c>
      <c r="AH95" s="44">
        <f t="shared" si="31"/>
        <v>293210.69797572953</v>
      </c>
      <c r="AI95" s="36"/>
      <c r="AJ95" s="36"/>
      <c r="AK95" s="95"/>
      <c r="AL95" s="95"/>
      <c r="AM95" s="44"/>
    </row>
    <row r="96" spans="1:42" ht="15" hidden="1" outlineLevel="1" x14ac:dyDescent="0.35">
      <c r="A96" s="8"/>
      <c r="B96" s="80">
        <f t="shared" si="33"/>
        <v>0</v>
      </c>
      <c r="C96" s="9" t="s">
        <v>11</v>
      </c>
      <c r="D96" s="11">
        <v>127812.68280000001</v>
      </c>
      <c r="E96" s="11">
        <v>782.26444419591303</v>
      </c>
      <c r="F96" s="11"/>
      <c r="G96" s="11">
        <f xml:space="preserve"> E96 * ( H96 / V96)</f>
        <v>496.63052458063908</v>
      </c>
      <c r="H96" s="21">
        <v>19.369661266568482</v>
      </c>
      <c r="I96" s="78">
        <f xml:space="preserve"> E96 * H96</f>
        <v>15152.197304955298</v>
      </c>
      <c r="J96" s="11">
        <f xml:space="preserve"> E96</f>
        <v>782.26444419591303</v>
      </c>
      <c r="K96" s="11">
        <f t="shared" si="32"/>
        <v>67.760000000000005</v>
      </c>
      <c r="L96" s="78">
        <f xml:space="preserve"> J96 * K96</f>
        <v>53006.238738715074</v>
      </c>
      <c r="M96" s="11">
        <f xml:space="preserve"> (D96 - I96 - L96 - R96) / N96</f>
        <v>669.38459789173953</v>
      </c>
      <c r="N96" s="22">
        <f xml:space="preserve"> H$53</f>
        <v>50.662739322533142</v>
      </c>
      <c r="O96" s="78">
        <f xml:space="preserve"> M96 * N96</f>
        <v>33912.857389507866</v>
      </c>
      <c r="P96" s="11">
        <v>660.03562479030165</v>
      </c>
      <c r="Q96" s="11">
        <f t="shared" si="34"/>
        <v>39</v>
      </c>
      <c r="R96" s="78">
        <f xml:space="preserve"> P96 * Q96</f>
        <v>25741.389366821764</v>
      </c>
      <c r="S96" s="11" t="s">
        <v>3</v>
      </c>
      <c r="T96" s="11"/>
      <c r="U96" s="20"/>
      <c r="V96" s="20">
        <f xml:space="preserve"> V$68</f>
        <v>30.51</v>
      </c>
      <c r="W96" s="20">
        <v>43.06</v>
      </c>
      <c r="X96" s="20">
        <v>24.7</v>
      </c>
      <c r="Y96" s="20">
        <v>48.73</v>
      </c>
      <c r="Z96" s="12">
        <v>39</v>
      </c>
      <c r="AA96" s="11"/>
      <c r="AB96" s="45"/>
      <c r="AC96" s="45">
        <f xml:space="preserve"> (G96 * V96) * ( 1 + $AQ$8)</f>
        <v>15676.634378875478</v>
      </c>
      <c r="AD96" s="45">
        <f xml:space="preserve"> J96 * W96</f>
        <v>33684.306967076016</v>
      </c>
      <c r="AE96" s="45">
        <f xml:space="preserve"> J96 * X96</f>
        <v>19321.931771639051</v>
      </c>
      <c r="AF96" s="45">
        <f xml:space="preserve"> (M96 * Y96) * ( 1 + $AQ$8)</f>
        <v>33748.100935877985</v>
      </c>
      <c r="AG96" s="45">
        <f xml:space="preserve"> P96 * Z96</f>
        <v>25741.389366821764</v>
      </c>
      <c r="AH96" s="44">
        <f t="shared" si="31"/>
        <v>128172.36342029029</v>
      </c>
      <c r="AI96" s="36"/>
      <c r="AJ96" s="36"/>
      <c r="AK96" s="95"/>
      <c r="AL96" s="95"/>
      <c r="AM96" s="44"/>
    </row>
    <row r="97" spans="1:42" ht="4.95" customHeight="1" collapsed="1" x14ac:dyDescent="0.35">
      <c r="A97" s="8"/>
      <c r="B97" s="10"/>
      <c r="C97" s="10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45"/>
      <c r="AC97" s="45"/>
      <c r="AD97" s="45"/>
      <c r="AE97" s="45"/>
      <c r="AF97" s="45"/>
      <c r="AG97" s="45"/>
      <c r="AH97" s="44"/>
      <c r="AI97" s="36"/>
      <c r="AJ97" s="36"/>
      <c r="AK97" s="11"/>
      <c r="AL97" s="11"/>
      <c r="AM97" s="44"/>
    </row>
    <row r="98" spans="1:42" s="52" customFormat="1" ht="15" x14ac:dyDescent="0.35">
      <c r="A98" s="46" t="s">
        <v>6</v>
      </c>
      <c r="B98" s="74" t="s">
        <v>24</v>
      </c>
      <c r="C98" s="47"/>
      <c r="D98" s="48">
        <v>33460.22</v>
      </c>
      <c r="E98" s="48">
        <v>425.4438698930976</v>
      </c>
      <c r="F98" s="48"/>
      <c r="G98" s="49"/>
      <c r="H98" s="49"/>
      <c r="I98" s="49"/>
      <c r="J98" s="48"/>
      <c r="K98" s="48"/>
      <c r="L98" s="49"/>
      <c r="M98" s="48"/>
      <c r="N98" s="55"/>
      <c r="O98" s="49"/>
      <c r="P98" s="49"/>
      <c r="Q98" s="49"/>
      <c r="R98" s="49"/>
      <c r="S98" s="48" t="s">
        <v>3</v>
      </c>
      <c r="T98" s="48"/>
      <c r="U98" s="48"/>
      <c r="V98" s="48"/>
      <c r="W98" s="48"/>
      <c r="X98" s="48"/>
      <c r="Y98" s="48"/>
      <c r="Z98" s="48"/>
      <c r="AA98" s="48"/>
      <c r="AB98" s="50">
        <f t="shared" ref="AB98" si="35">SUM(AB99:AB103)</f>
        <v>0</v>
      </c>
      <c r="AC98" s="50">
        <f t="shared" ref="AC98:AG98" si="36">SUM(AC99:AC103)</f>
        <v>0</v>
      </c>
      <c r="AD98" s="50">
        <f t="shared" si="36"/>
        <v>11859.065688554259</v>
      </c>
      <c r="AE98" s="50">
        <f t="shared" si="36"/>
        <v>2769.4655399393432</v>
      </c>
      <c r="AF98" s="50">
        <f t="shared" si="36"/>
        <v>21268.142061254555</v>
      </c>
      <c r="AG98" s="50">
        <f t="shared" si="36"/>
        <v>0</v>
      </c>
      <c r="AH98" s="51">
        <f>SUM(AH99:AH103)</f>
        <v>35896.673289748156</v>
      </c>
      <c r="AI98" s="57">
        <f xml:space="preserve"> IF( AH98 &lt;&gt; 0, AH98- D98, 0)</f>
        <v>2436.4532897481549</v>
      </c>
      <c r="AJ98" s="58">
        <f xml:space="preserve"> AI98 / D98</f>
        <v>7.2816415724348341E-2</v>
      </c>
      <c r="AK98" s="96">
        <f xml:space="preserve"> 100% * (1 + $AK$6) * (1 + $AK$7)</f>
        <v>1.0624506299999998</v>
      </c>
      <c r="AL98" s="96">
        <f xml:space="preserve"> 100% * (1 + $AL$6) * (1 + $AL$7)</f>
        <v>1.07985424</v>
      </c>
      <c r="AM98" s="51">
        <f xml:space="preserve"> (SUM( AB98, AF98) * AK98) + (SUM( AC98:AE98, AG98) * AL98)</f>
        <v>38393.032403970625</v>
      </c>
      <c r="AN98" s="57">
        <f xml:space="preserve"> AM98 - AH98</f>
        <v>2496.3591142224686</v>
      </c>
      <c r="AO98" s="58">
        <f xml:space="preserve"> (AM98 - AH98) / AH98</f>
        <v>6.9542909842161105E-2</v>
      </c>
      <c r="AP98" s="53"/>
    </row>
    <row r="99" spans="1:42" ht="15" hidden="1" outlineLevel="1" x14ac:dyDescent="0.35">
      <c r="A99" s="8"/>
      <c r="B99" s="9"/>
      <c r="C99" s="9" t="s">
        <v>7</v>
      </c>
      <c r="D99" s="11">
        <v>0</v>
      </c>
      <c r="E99" s="11">
        <v>0</v>
      </c>
      <c r="F99" s="11"/>
      <c r="G99" s="76"/>
      <c r="H99" s="76"/>
      <c r="I99" s="76"/>
      <c r="J99" s="11">
        <f xml:space="preserve"> E99</f>
        <v>0</v>
      </c>
      <c r="K99" s="11">
        <f t="shared" ref="K99:K104" si="37">W99 + X99</f>
        <v>37.270000000000003</v>
      </c>
      <c r="L99" s="76"/>
      <c r="M99" s="11">
        <f xml:space="preserve"> (D99 - (E99 * K99)) / N99</f>
        <v>0</v>
      </c>
      <c r="N99" s="18">
        <f xml:space="preserve"> H$22</f>
        <v>47.128129602356388</v>
      </c>
      <c r="O99" s="76"/>
      <c r="P99" s="76"/>
      <c r="Q99" s="76"/>
      <c r="R99" s="76"/>
      <c r="S99" s="11" t="s">
        <v>3</v>
      </c>
      <c r="T99" s="11"/>
      <c r="U99" s="20"/>
      <c r="V99" s="20"/>
      <c r="W99" s="20">
        <v>30.16</v>
      </c>
      <c r="X99" s="20">
        <v>7.11</v>
      </c>
      <c r="Y99" s="20">
        <v>56.59</v>
      </c>
      <c r="Z99" s="12"/>
      <c r="AA99" s="11"/>
      <c r="AB99" s="45"/>
      <c r="AC99" s="45">
        <f xml:space="preserve"> G99 * V99</f>
        <v>0</v>
      </c>
      <c r="AD99" s="45">
        <f xml:space="preserve"> J99 * W99</f>
        <v>0</v>
      </c>
      <c r="AE99" s="45">
        <f xml:space="preserve"> J99 * X99</f>
        <v>0</v>
      </c>
      <c r="AF99" s="45">
        <f xml:space="preserve"> (M99 * Y99) * ( 1 + $AQ$8)</f>
        <v>0</v>
      </c>
      <c r="AG99" s="45">
        <f xml:space="preserve"> P99 * Z99</f>
        <v>0</v>
      </c>
      <c r="AH99" s="44">
        <f>SUM(AB99:AG99)</f>
        <v>0</v>
      </c>
      <c r="AI99" s="36"/>
      <c r="AJ99" s="36"/>
      <c r="AK99" s="95"/>
      <c r="AL99" s="95"/>
      <c r="AM99" s="44"/>
    </row>
    <row r="100" spans="1:42" ht="15" hidden="1" outlineLevel="1" x14ac:dyDescent="0.35">
      <c r="A100" s="8"/>
      <c r="B100" s="9"/>
      <c r="C100" s="9" t="s">
        <v>8</v>
      </c>
      <c r="D100" s="11">
        <v>21335.9</v>
      </c>
      <c r="E100" s="11">
        <v>274.66706989309773</v>
      </c>
      <c r="F100" s="11"/>
      <c r="G100" s="76"/>
      <c r="H100" s="76"/>
      <c r="I100" s="76"/>
      <c r="J100" s="11">
        <f xml:space="preserve"> E100</f>
        <v>274.66706989309773</v>
      </c>
      <c r="K100" s="11">
        <f t="shared" si="37"/>
        <v>32.799999999999997</v>
      </c>
      <c r="L100" s="76"/>
      <c r="M100" s="11">
        <f xml:space="preserve"> (D100 - (E100 * K100)) / N100</f>
        <v>261.55971415615522</v>
      </c>
      <c r="N100" s="18">
        <f xml:space="preserve"> H$23</f>
        <v>47.128129602355706</v>
      </c>
      <c r="O100" s="76"/>
      <c r="P100" s="76"/>
      <c r="Q100" s="76"/>
      <c r="R100" s="76"/>
      <c r="S100" s="11" t="s">
        <v>3</v>
      </c>
      <c r="T100" s="11"/>
      <c r="U100" s="20"/>
      <c r="V100" s="20"/>
      <c r="W100" s="20">
        <v>26.62</v>
      </c>
      <c r="X100" s="20">
        <v>6.18</v>
      </c>
      <c r="Y100" s="20">
        <v>48.73</v>
      </c>
      <c r="Z100" s="12"/>
      <c r="AA100" s="11"/>
      <c r="AB100" s="45"/>
      <c r="AC100" s="45">
        <f xml:space="preserve"> G100 * V100</f>
        <v>0</v>
      </c>
      <c r="AD100" s="45">
        <f xml:space="preserve"> J100 * W100</f>
        <v>7311.6374005542621</v>
      </c>
      <c r="AE100" s="45">
        <f xml:space="preserve"> J100 * X100</f>
        <v>1697.4424919393439</v>
      </c>
      <c r="AF100" s="45">
        <f xml:space="preserve"> (M100 * Y100) * ( 1 + $AQ$8)</f>
        <v>13186.953601715446</v>
      </c>
      <c r="AG100" s="45">
        <f xml:space="preserve"> P100 * Z100</f>
        <v>0</v>
      </c>
      <c r="AH100" s="44">
        <f>SUM(AB100:AG100)</f>
        <v>22196.033494209052</v>
      </c>
      <c r="AI100" s="36"/>
      <c r="AJ100" s="36"/>
      <c r="AK100" s="95"/>
      <c r="AL100" s="95"/>
      <c r="AM100" s="44"/>
    </row>
    <row r="101" spans="1:42" ht="15" hidden="1" outlineLevel="1" x14ac:dyDescent="0.35">
      <c r="A101" s="8"/>
      <c r="B101" s="9"/>
      <c r="C101" s="9" t="s">
        <v>10</v>
      </c>
      <c r="D101" s="11">
        <v>0</v>
      </c>
      <c r="E101" s="11">
        <v>0</v>
      </c>
      <c r="F101" s="11"/>
      <c r="G101" s="76"/>
      <c r="H101" s="76"/>
      <c r="I101" s="76"/>
      <c r="J101" s="11">
        <f xml:space="preserve"> E101</f>
        <v>0</v>
      </c>
      <c r="K101" s="11">
        <f t="shared" si="37"/>
        <v>36.050000000000004</v>
      </c>
      <c r="L101" s="76"/>
      <c r="M101" s="11">
        <f xml:space="preserve"> (D101 - (E101 * K101)) / N101</f>
        <v>0</v>
      </c>
      <c r="N101" s="18">
        <f xml:space="preserve"> H$24</f>
        <v>51.373369624513892</v>
      </c>
      <c r="O101" s="76"/>
      <c r="P101" s="76"/>
      <c r="Q101" s="76"/>
      <c r="R101" s="76"/>
      <c r="S101" s="11" t="s">
        <v>3</v>
      </c>
      <c r="T101" s="11"/>
      <c r="U101" s="12"/>
      <c r="V101" s="20"/>
      <c r="W101" s="20">
        <v>29.26</v>
      </c>
      <c r="X101" s="20">
        <v>6.79</v>
      </c>
      <c r="Y101" s="20">
        <v>61.6</v>
      </c>
      <c r="Z101" s="12"/>
      <c r="AA101" s="11"/>
      <c r="AB101" s="45"/>
      <c r="AC101" s="45">
        <f xml:space="preserve"> G101 * V101</f>
        <v>0</v>
      </c>
      <c r="AD101" s="45">
        <f xml:space="preserve"> J101 * W101</f>
        <v>0</v>
      </c>
      <c r="AE101" s="45">
        <f xml:space="preserve"> J101 * X101</f>
        <v>0</v>
      </c>
      <c r="AF101" s="45">
        <f xml:space="preserve"> (M101 * Y101) * ( 1 + $AQ$8)</f>
        <v>0</v>
      </c>
      <c r="AG101" s="45">
        <f xml:space="preserve"> P101 * Z101</f>
        <v>0</v>
      </c>
      <c r="AH101" s="44">
        <f>SUM(AB101:AG101)</f>
        <v>0</v>
      </c>
      <c r="AI101" s="36"/>
      <c r="AJ101" s="36"/>
      <c r="AK101" s="95"/>
      <c r="AL101" s="95"/>
      <c r="AM101" s="44"/>
    </row>
    <row r="102" spans="1:42" ht="15" hidden="1" outlineLevel="1" x14ac:dyDescent="0.35">
      <c r="A102" s="8"/>
      <c r="B102" s="9"/>
      <c r="C102" s="9" t="s">
        <v>9</v>
      </c>
      <c r="D102" s="11">
        <v>12124.32</v>
      </c>
      <c r="E102" s="11">
        <v>150.77679999999989</v>
      </c>
      <c r="F102" s="11"/>
      <c r="G102" s="76"/>
      <c r="H102" s="76"/>
      <c r="I102" s="76"/>
      <c r="J102" s="11">
        <f xml:space="preserve"> E102</f>
        <v>150.77679999999989</v>
      </c>
      <c r="K102" s="11">
        <f t="shared" si="37"/>
        <v>37.270000000000003</v>
      </c>
      <c r="L102" s="76"/>
      <c r="M102" s="11">
        <f xml:space="preserve"> (D102 - (E102 * K102)) / N102</f>
        <v>138.02518196424978</v>
      </c>
      <c r="N102" s="18">
        <f xml:space="preserve"> H$25</f>
        <v>47.128129602356509</v>
      </c>
      <c r="O102" s="76"/>
      <c r="P102" s="76"/>
      <c r="Q102" s="76"/>
      <c r="R102" s="76"/>
      <c r="S102" s="11" t="s">
        <v>3</v>
      </c>
      <c r="T102" s="11"/>
      <c r="U102" s="20"/>
      <c r="V102" s="20"/>
      <c r="W102" s="20">
        <v>30.16</v>
      </c>
      <c r="X102" s="20">
        <v>7.11</v>
      </c>
      <c r="Y102" s="20">
        <v>56.59</v>
      </c>
      <c r="Z102" s="12"/>
      <c r="AA102" s="11"/>
      <c r="AB102" s="45"/>
      <c r="AC102" s="45">
        <f xml:space="preserve"> G102 * V102</f>
        <v>0</v>
      </c>
      <c r="AD102" s="45">
        <f xml:space="preserve"> J102 * W102</f>
        <v>4547.4282879999964</v>
      </c>
      <c r="AE102" s="45">
        <f xml:space="preserve"> J102 * X102</f>
        <v>1072.0230479999993</v>
      </c>
      <c r="AF102" s="45">
        <f xml:space="preserve"> (M102 * Y102) * ( 1 + $AQ$8)</f>
        <v>8081.1884595391093</v>
      </c>
      <c r="AG102" s="45">
        <f xml:space="preserve"> P102 * Z102</f>
        <v>0</v>
      </c>
      <c r="AH102" s="44">
        <f>SUM(AB102:AG102)</f>
        <v>13700.639795539104</v>
      </c>
      <c r="AI102" s="36"/>
      <c r="AJ102" s="36"/>
      <c r="AK102" s="95"/>
      <c r="AL102" s="95"/>
      <c r="AM102" s="44"/>
    </row>
    <row r="103" spans="1:42" ht="15" hidden="1" outlineLevel="1" x14ac:dyDescent="0.35">
      <c r="A103" s="8"/>
      <c r="B103" s="9"/>
      <c r="C103" s="9" t="s">
        <v>11</v>
      </c>
      <c r="D103" s="11">
        <v>0</v>
      </c>
      <c r="E103" s="11">
        <v>0</v>
      </c>
      <c r="F103" s="11"/>
      <c r="G103" s="76"/>
      <c r="H103" s="76"/>
      <c r="I103" s="76"/>
      <c r="J103" s="11">
        <f xml:space="preserve"> E103</f>
        <v>0</v>
      </c>
      <c r="K103" s="11">
        <f t="shared" si="37"/>
        <v>32.799999999999997</v>
      </c>
      <c r="L103" s="76"/>
      <c r="M103" s="11">
        <f xml:space="preserve"> IFERROR((D103 - (E103 * K103)) / N103, 0)</f>
        <v>0</v>
      </c>
      <c r="N103" s="18">
        <f xml:space="preserve"> H$26</f>
        <v>47.128129602356204</v>
      </c>
      <c r="O103" s="76"/>
      <c r="P103" s="76"/>
      <c r="Q103" s="76"/>
      <c r="R103" s="76"/>
      <c r="S103" s="11" t="s">
        <v>3</v>
      </c>
      <c r="T103" s="11"/>
      <c r="U103" s="12"/>
      <c r="V103" s="20"/>
      <c r="W103" s="20">
        <v>26.62</v>
      </c>
      <c r="X103" s="20">
        <v>6.18</v>
      </c>
      <c r="Y103" s="20">
        <v>48.73</v>
      </c>
      <c r="Z103" s="12"/>
      <c r="AA103" s="11"/>
      <c r="AB103" s="45"/>
      <c r="AC103" s="45">
        <f xml:space="preserve"> G103 * V103</f>
        <v>0</v>
      </c>
      <c r="AD103" s="45">
        <f xml:space="preserve"> J103 * W103</f>
        <v>0</v>
      </c>
      <c r="AE103" s="45">
        <f xml:space="preserve"> J103 * X103</f>
        <v>0</v>
      </c>
      <c r="AF103" s="45">
        <f xml:space="preserve"> (M103 * Y103) * ( 1 + $AQ$8)</f>
        <v>0</v>
      </c>
      <c r="AG103" s="45">
        <f xml:space="preserve"> P103 * Z103</f>
        <v>0</v>
      </c>
      <c r="AH103" s="44">
        <f>SUM(AB103:AG103)</f>
        <v>0</v>
      </c>
      <c r="AI103" s="36"/>
      <c r="AJ103" s="36"/>
      <c r="AK103" s="95"/>
      <c r="AL103" s="95"/>
      <c r="AM103" s="44"/>
    </row>
    <row r="104" spans="1:42" ht="4.95" customHeight="1" collapsed="1" x14ac:dyDescent="0.35">
      <c r="A104" s="8"/>
      <c r="B104" s="10"/>
      <c r="C104" s="10"/>
      <c r="D104" s="11"/>
      <c r="E104" s="11"/>
      <c r="F104" s="11"/>
      <c r="G104" s="11"/>
      <c r="H104" s="11"/>
      <c r="I104" s="11"/>
      <c r="J104" s="11"/>
      <c r="K104" s="11">
        <f t="shared" si="37"/>
        <v>0</v>
      </c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45"/>
      <c r="AC104" s="45"/>
      <c r="AD104" s="45"/>
      <c r="AE104" s="45"/>
      <c r="AF104" s="45"/>
      <c r="AG104" s="45"/>
      <c r="AH104" s="44"/>
      <c r="AI104" s="36"/>
      <c r="AJ104" s="36"/>
      <c r="AK104" s="11"/>
      <c r="AL104" s="11"/>
      <c r="AM104" s="44"/>
    </row>
    <row r="105" spans="1:42" s="52" customFormat="1" ht="15" x14ac:dyDescent="0.35">
      <c r="A105" s="46" t="s">
        <v>6</v>
      </c>
      <c r="B105" s="74" t="s">
        <v>25</v>
      </c>
      <c r="C105" s="47"/>
      <c r="D105" s="48">
        <v>3508362.4725000001</v>
      </c>
      <c r="E105" s="48">
        <v>22170.475348080112</v>
      </c>
      <c r="F105" s="48"/>
      <c r="G105" s="48"/>
      <c r="H105" s="48"/>
      <c r="I105" s="48"/>
      <c r="J105" s="48"/>
      <c r="K105" s="48"/>
      <c r="L105" s="48"/>
      <c r="M105" s="48"/>
      <c r="N105" s="55"/>
      <c r="O105" s="48"/>
      <c r="P105" s="48"/>
      <c r="Q105" s="48"/>
      <c r="R105" s="48"/>
      <c r="S105" s="48" t="s">
        <v>3</v>
      </c>
      <c r="T105" s="48"/>
      <c r="U105" s="48"/>
      <c r="V105" s="48"/>
      <c r="W105" s="48"/>
      <c r="X105" s="48"/>
      <c r="Y105" s="48"/>
      <c r="Z105" s="48"/>
      <c r="AA105" s="48"/>
      <c r="AB105" s="50">
        <f t="shared" ref="AB105" si="38">SUM(AB106:AB110)</f>
        <v>0</v>
      </c>
      <c r="AC105" s="50">
        <f t="shared" ref="AC105:AF105" si="39">SUM(AC106:AC110)</f>
        <v>442007.31836186396</v>
      </c>
      <c r="AD105" s="50">
        <f t="shared" si="39"/>
        <v>640656.42231641198</v>
      </c>
      <c r="AE105" s="50">
        <f t="shared" si="39"/>
        <v>300470.4974384706</v>
      </c>
      <c r="AF105" s="50">
        <f t="shared" si="39"/>
        <v>1602852.3346895599</v>
      </c>
      <c r="AG105" s="50">
        <f>SUM(AG106:AG110)</f>
        <v>729547.2044227611</v>
      </c>
      <c r="AH105" s="51">
        <f t="shared" ref="AH105:AH110" si="40">SUM(AB105:AG105)</f>
        <v>3715533.7772290674</v>
      </c>
      <c r="AI105" s="57">
        <f xml:space="preserve"> IF( AH105 &lt;&gt; 0, AH105- D105, 0)</f>
        <v>207171.30472906725</v>
      </c>
      <c r="AJ105" s="58">
        <f xml:space="preserve"> AI105 / D105</f>
        <v>5.9050712790642883E-2</v>
      </c>
      <c r="AK105" s="96">
        <f xml:space="preserve"> 100% * (1 + $AK$6) * (1 + $AK$7)</f>
        <v>1.0624506299999998</v>
      </c>
      <c r="AL105" s="96">
        <f xml:space="preserve"> 100% * (1 + $AL$6) * (1 + $AL$7)</f>
        <v>1.07985424</v>
      </c>
      <c r="AM105" s="51">
        <f xml:space="preserve"> (SUM( AB105, AF105) * AK105) + (SUM( AC105:AE105, AG105) * AL105)</f>
        <v>3984339.486283497</v>
      </c>
      <c r="AN105" s="57">
        <f xml:space="preserve"> AM105 - AH105</f>
        <v>268805.70905442955</v>
      </c>
      <c r="AO105" s="58">
        <f xml:space="preserve"> (AM105 - AH105) / AH105</f>
        <v>7.2346458186391918E-2</v>
      </c>
      <c r="AP105" s="53"/>
    </row>
    <row r="106" spans="1:42" ht="15" hidden="1" outlineLevel="1" x14ac:dyDescent="0.35">
      <c r="A106" s="8"/>
      <c r="B106" s="80">
        <f xml:space="preserve"> D106 - I106 - L106 - O106 - R106</f>
        <v>0</v>
      </c>
      <c r="C106" s="9" t="s">
        <v>7</v>
      </c>
      <c r="D106" s="11">
        <v>1928624.5625</v>
      </c>
      <c r="E106" s="11">
        <v>12210.194621720446</v>
      </c>
      <c r="F106" s="11"/>
      <c r="G106" s="11">
        <f xml:space="preserve"> E106 * ( H106 / V106)</f>
        <v>6094.57751713374</v>
      </c>
      <c r="H106" s="11">
        <v>16.990672557682867</v>
      </c>
      <c r="I106" s="78">
        <f xml:space="preserve"> E106 * H106</f>
        <v>207459.41868323251</v>
      </c>
      <c r="J106" s="11">
        <f xml:space="preserve"> E106</f>
        <v>12210.194621720446</v>
      </c>
      <c r="K106" s="11">
        <f t="shared" ref="K106:K109" si="41">W106 + X106</f>
        <v>44.38</v>
      </c>
      <c r="L106" s="78">
        <f xml:space="preserve"> J106 * K106</f>
        <v>541888.4373119534</v>
      </c>
      <c r="M106" s="11">
        <f xml:space="preserve"> (D106 - I106 - L106 - R106) / N106</f>
        <v>15346.288024106614</v>
      </c>
      <c r="N106" s="18">
        <f xml:space="preserve"> H$51</f>
        <v>50.662739322533149</v>
      </c>
      <c r="O106" s="78">
        <f xml:space="preserve"> M106 * N106</f>
        <v>777484.98973382567</v>
      </c>
      <c r="P106" s="11">
        <v>10302.351712076626</v>
      </c>
      <c r="Q106" s="11">
        <f xml:space="preserve"> Z106 * ( 1 - $Q$83)</f>
        <v>39</v>
      </c>
      <c r="R106" s="78">
        <f xml:space="preserve"> P106 * Q106</f>
        <v>401791.71677098842</v>
      </c>
      <c r="S106" s="11" t="s">
        <v>3</v>
      </c>
      <c r="T106" s="11"/>
      <c r="U106" s="12"/>
      <c r="V106" s="20">
        <f xml:space="preserve"> V$64</f>
        <v>34.04</v>
      </c>
      <c r="W106" s="20">
        <v>30.16</v>
      </c>
      <c r="X106" s="20">
        <v>14.22</v>
      </c>
      <c r="Y106" s="20">
        <v>56.59</v>
      </c>
      <c r="Z106" s="12">
        <v>39</v>
      </c>
      <c r="AA106" s="11"/>
      <c r="AB106" s="45"/>
      <c r="AC106" s="45">
        <f xml:space="preserve"> (G106 * V106) * ( 1 + $AQ$8)</f>
        <v>214639.85649708239</v>
      </c>
      <c r="AD106" s="45">
        <f xml:space="preserve"> J106 * W106</f>
        <v>368259.46979108866</v>
      </c>
      <c r="AE106" s="45">
        <f xml:space="preserve"> J106 * X106</f>
        <v>173628.96752086474</v>
      </c>
      <c r="AF106" s="45">
        <f xml:space="preserve"> (M106 * Y106) * ( 1 + $AQ$8)</f>
        <v>898504.48963215528</v>
      </c>
      <c r="AG106" s="45">
        <f xml:space="preserve"> P106 * Z106</f>
        <v>401791.71677098842</v>
      </c>
      <c r="AH106" s="44">
        <f t="shared" si="40"/>
        <v>2056824.5002121795</v>
      </c>
      <c r="AI106" s="36"/>
      <c r="AJ106" s="36"/>
      <c r="AK106" s="95"/>
      <c r="AL106" s="95"/>
      <c r="AM106" s="44"/>
    </row>
    <row r="107" spans="1:42" ht="15" hidden="1" outlineLevel="1" x14ac:dyDescent="0.35">
      <c r="A107" s="8"/>
      <c r="B107" s="80">
        <f t="shared" ref="B107:B110" si="42" xml:space="preserve"> D107 - I107 - L107 - O107 - R107</f>
        <v>0</v>
      </c>
      <c r="C107" s="9" t="s">
        <v>8</v>
      </c>
      <c r="D107" s="11">
        <v>1260503.926</v>
      </c>
      <c r="E107" s="11">
        <v>7911.049203865563</v>
      </c>
      <c r="F107" s="11"/>
      <c r="G107" s="11">
        <f xml:space="preserve"> E107 * ( H107 / V107)</f>
        <v>5712.0823303440993</v>
      </c>
      <c r="H107" s="11">
        <v>23.567337587956143</v>
      </c>
      <c r="I107" s="78">
        <f xml:space="preserve"> E107 * H107</f>
        <v>186442.36726243139</v>
      </c>
      <c r="J107" s="11">
        <f xml:space="preserve"> E107</f>
        <v>7911.049203865563</v>
      </c>
      <c r="K107" s="11">
        <f t="shared" si="41"/>
        <v>38.97</v>
      </c>
      <c r="L107" s="78">
        <f xml:space="preserve"> J107 * K107</f>
        <v>308293.58747464098</v>
      </c>
      <c r="M107" s="11">
        <f xml:space="preserve"> (D107 - I107 - L107 - R107) / N107</f>
        <v>11047.118906729476</v>
      </c>
      <c r="N107" s="18">
        <f xml:space="preserve"> H$52</f>
        <v>45.753559155621019</v>
      </c>
      <c r="O107" s="78">
        <f xml:space="preserve"> M107 * N107</f>
        <v>505445.00839822652</v>
      </c>
      <c r="P107" s="11">
        <v>6674.9477657615689</v>
      </c>
      <c r="Q107" s="11">
        <f t="shared" ref="Q107:Q109" si="43" xml:space="preserve"> Z107 * ( 1 - $Q$83)</f>
        <v>39</v>
      </c>
      <c r="R107" s="78">
        <f xml:space="preserve"> P107 * Q107</f>
        <v>260322.9628647012</v>
      </c>
      <c r="S107" s="11" t="s">
        <v>3</v>
      </c>
      <c r="T107" s="11"/>
      <c r="U107" s="12"/>
      <c r="V107" s="20">
        <f xml:space="preserve"> V$65</f>
        <v>32.64</v>
      </c>
      <c r="W107" s="20">
        <v>26.62</v>
      </c>
      <c r="X107" s="20">
        <v>12.35</v>
      </c>
      <c r="Y107" s="20">
        <v>48.73</v>
      </c>
      <c r="Z107" s="12">
        <v>39</v>
      </c>
      <c r="AA107" s="11"/>
      <c r="AB107" s="45"/>
      <c r="AC107" s="45">
        <f xml:space="preserve"> (G107 * V107) * ( 1 + $AQ$8)</f>
        <v>192895.37784393193</v>
      </c>
      <c r="AD107" s="45">
        <f xml:space="preserve"> J107 * W107</f>
        <v>210592.1298069013</v>
      </c>
      <c r="AE107" s="45">
        <f xml:space="preserve"> J107 * X107</f>
        <v>97701.457667739698</v>
      </c>
      <c r="AF107" s="45">
        <f xml:space="preserve"> (M107 * Y107) * ( 1 + $AQ$8)</f>
        <v>556958.26448526827</v>
      </c>
      <c r="AG107" s="45">
        <f xml:space="preserve"> P107 * Z107</f>
        <v>260322.9628647012</v>
      </c>
      <c r="AH107" s="44">
        <f t="shared" si="40"/>
        <v>1318470.1926685423</v>
      </c>
      <c r="AI107" s="36"/>
      <c r="AJ107" s="36"/>
      <c r="AK107" s="95"/>
      <c r="AL107" s="95"/>
      <c r="AM107" s="44"/>
    </row>
    <row r="108" spans="1:42" ht="15" hidden="1" outlineLevel="1" x14ac:dyDescent="0.35">
      <c r="A108" s="8"/>
      <c r="B108" s="80">
        <f t="shared" si="42"/>
        <v>0</v>
      </c>
      <c r="C108" s="9" t="s">
        <v>10</v>
      </c>
      <c r="D108" s="11">
        <v>0</v>
      </c>
      <c r="E108" s="11">
        <v>0</v>
      </c>
      <c r="F108" s="11"/>
      <c r="G108" s="11">
        <f xml:space="preserve"> E108 * ( H108 / V108)</f>
        <v>0</v>
      </c>
      <c r="H108" s="11">
        <v>0</v>
      </c>
      <c r="I108" s="78">
        <f xml:space="preserve"> E108 * H108</f>
        <v>0</v>
      </c>
      <c r="J108" s="11">
        <f xml:space="preserve"> E108</f>
        <v>0</v>
      </c>
      <c r="K108" s="11"/>
      <c r="L108" s="78">
        <f xml:space="preserve"> J108 * K108</f>
        <v>0</v>
      </c>
      <c r="M108" s="11"/>
      <c r="N108" s="18"/>
      <c r="O108" s="78"/>
      <c r="P108" s="11"/>
      <c r="Q108" s="11"/>
      <c r="R108" s="78"/>
      <c r="S108" s="11" t="s">
        <v>3</v>
      </c>
      <c r="T108" s="11"/>
      <c r="U108" s="12"/>
      <c r="V108" s="20">
        <f xml:space="preserve"> V$66</f>
        <v>34.04</v>
      </c>
      <c r="W108" s="20">
        <v>29.26</v>
      </c>
      <c r="X108" s="20">
        <v>13.59</v>
      </c>
      <c r="Y108" s="20">
        <v>61.6</v>
      </c>
      <c r="Z108" s="12">
        <v>39</v>
      </c>
      <c r="AA108" s="11"/>
      <c r="AB108" s="45"/>
      <c r="AC108" s="45">
        <f xml:space="preserve"> (G108 * V108) * ( 1 + $AQ$8)</f>
        <v>0</v>
      </c>
      <c r="AD108" s="45">
        <f xml:space="preserve"> J108 * W108</f>
        <v>0</v>
      </c>
      <c r="AE108" s="45">
        <f xml:space="preserve"> J108 * X108</f>
        <v>0</v>
      </c>
      <c r="AF108" s="45">
        <f xml:space="preserve"> (M108 * Y108) * ( 1 + $AQ$8)</f>
        <v>0</v>
      </c>
      <c r="AG108" s="45">
        <f xml:space="preserve"> P108 * Z108</f>
        <v>0</v>
      </c>
      <c r="AH108" s="44">
        <f t="shared" si="40"/>
        <v>0</v>
      </c>
      <c r="AI108" s="36"/>
      <c r="AJ108" s="36"/>
      <c r="AK108" s="95"/>
      <c r="AL108" s="95"/>
      <c r="AM108" s="44"/>
    </row>
    <row r="109" spans="1:42" ht="15" hidden="1" outlineLevel="1" x14ac:dyDescent="0.35">
      <c r="A109" s="8"/>
      <c r="B109" s="80">
        <f t="shared" si="42"/>
        <v>0</v>
      </c>
      <c r="C109" s="9" t="s">
        <v>9</v>
      </c>
      <c r="D109" s="11">
        <v>319233.984</v>
      </c>
      <c r="E109" s="11">
        <v>2049.2315224941012</v>
      </c>
      <c r="F109" s="11"/>
      <c r="G109" s="11">
        <f xml:space="preserve"> E109 * ( H109 / V109)</f>
        <v>978.8153592297582</v>
      </c>
      <c r="H109" s="11">
        <v>16.259204712812959</v>
      </c>
      <c r="I109" s="78">
        <f xml:space="preserve"> E109 * H109</f>
        <v>33318.874828180968</v>
      </c>
      <c r="J109" s="11">
        <f xml:space="preserve"> E109</f>
        <v>2049.2315224941012</v>
      </c>
      <c r="K109" s="11">
        <f t="shared" si="41"/>
        <v>44.38</v>
      </c>
      <c r="L109" s="78">
        <f xml:space="preserve"> J109 * K109</f>
        <v>90944.894968288223</v>
      </c>
      <c r="M109" s="11">
        <f xml:space="preserve"> (D109 - I109 - L109 - R109) / N109</f>
        <v>2517.3863695865075</v>
      </c>
      <c r="N109" s="22">
        <f xml:space="preserve"> H$53</f>
        <v>50.662739322533142</v>
      </c>
      <c r="O109" s="78">
        <f xml:space="preserve"> M109 * N109</f>
        <v>127537.6894164593</v>
      </c>
      <c r="P109" s="11">
        <v>1729.039097104398</v>
      </c>
      <c r="Q109" s="11">
        <f t="shared" si="43"/>
        <v>39</v>
      </c>
      <c r="R109" s="78">
        <f xml:space="preserve"> P109 * Q109</f>
        <v>67432.524787071525</v>
      </c>
      <c r="S109" s="11" t="s">
        <v>3</v>
      </c>
      <c r="T109" s="11"/>
      <c r="U109" s="12"/>
      <c r="V109" s="20">
        <f xml:space="preserve"> V$67</f>
        <v>34.04</v>
      </c>
      <c r="W109" s="20">
        <v>30.16</v>
      </c>
      <c r="X109" s="20">
        <v>14.22</v>
      </c>
      <c r="Y109" s="20">
        <v>56.59</v>
      </c>
      <c r="Z109" s="12">
        <v>39</v>
      </c>
      <c r="AA109" s="11"/>
      <c r="AB109" s="45"/>
      <c r="AC109" s="45">
        <f xml:space="preserve"> (G109 * V109) * ( 1 + $AQ$8)</f>
        <v>34472.084020849637</v>
      </c>
      <c r="AD109" s="45">
        <f xml:space="preserve"> J109 * W109</f>
        <v>61804.822718422096</v>
      </c>
      <c r="AE109" s="45">
        <f xml:space="preserve"> J109 * X109</f>
        <v>29140.07224986612</v>
      </c>
      <c r="AF109" s="45">
        <f xml:space="preserve"> (M109 * Y109) * ( 1 + $AQ$8)</f>
        <v>147389.58057213612</v>
      </c>
      <c r="AG109" s="45">
        <f xml:space="preserve"> P109 * Z109</f>
        <v>67432.524787071525</v>
      </c>
      <c r="AH109" s="44">
        <f t="shared" si="40"/>
        <v>340239.08434834552</v>
      </c>
      <c r="AI109" s="36"/>
      <c r="AJ109" s="36"/>
      <c r="AK109" s="95"/>
      <c r="AL109" s="95"/>
      <c r="AM109" s="44"/>
    </row>
    <row r="110" spans="1:42" ht="15" hidden="1" outlineLevel="1" x14ac:dyDescent="0.35">
      <c r="A110" s="8"/>
      <c r="B110" s="80">
        <f t="shared" si="42"/>
        <v>0</v>
      </c>
      <c r="C110" s="9" t="s">
        <v>11</v>
      </c>
      <c r="D110" s="11">
        <v>0</v>
      </c>
      <c r="E110" s="11">
        <v>0</v>
      </c>
      <c r="F110" s="11"/>
      <c r="G110" s="11">
        <f xml:space="preserve"> E110 * ( H110 / V110)</f>
        <v>0</v>
      </c>
      <c r="H110" s="11">
        <v>0</v>
      </c>
      <c r="I110" s="78">
        <f xml:space="preserve"> E110 * H110</f>
        <v>0</v>
      </c>
      <c r="J110" s="11"/>
      <c r="K110" s="11"/>
      <c r="L110" s="78">
        <f xml:space="preserve"> J110 * K110</f>
        <v>0</v>
      </c>
      <c r="M110" s="11"/>
      <c r="N110" s="11"/>
      <c r="O110" s="78"/>
      <c r="P110" s="11"/>
      <c r="Q110" s="11"/>
      <c r="R110" s="78"/>
      <c r="S110" s="11" t="s">
        <v>3</v>
      </c>
      <c r="T110" s="11"/>
      <c r="U110" s="12"/>
      <c r="V110" s="20">
        <f xml:space="preserve"> V$68</f>
        <v>30.51</v>
      </c>
      <c r="W110" s="20">
        <v>26.62</v>
      </c>
      <c r="X110" s="20">
        <v>12.35</v>
      </c>
      <c r="Y110" s="20">
        <v>48.73</v>
      </c>
      <c r="Z110" s="12">
        <v>39</v>
      </c>
      <c r="AA110" s="11"/>
      <c r="AB110" s="45"/>
      <c r="AC110" s="45">
        <f xml:space="preserve"> (G110 * V110) * ( 1 + $AQ$8)</f>
        <v>0</v>
      </c>
      <c r="AD110" s="45">
        <f xml:space="preserve"> J110 * W110</f>
        <v>0</v>
      </c>
      <c r="AE110" s="45">
        <f xml:space="preserve"> J110 * X110</f>
        <v>0</v>
      </c>
      <c r="AF110" s="45">
        <f xml:space="preserve"> (M110 * Y110) * ( 1 + $AQ$8)</f>
        <v>0</v>
      </c>
      <c r="AG110" s="45">
        <f xml:space="preserve"> P110 * Z110</f>
        <v>0</v>
      </c>
      <c r="AH110" s="44">
        <f t="shared" si="40"/>
        <v>0</v>
      </c>
      <c r="AI110" s="36"/>
      <c r="AJ110" s="36"/>
      <c r="AK110" s="95"/>
      <c r="AL110" s="95"/>
      <c r="AM110" s="44"/>
    </row>
    <row r="111" spans="1:42" ht="4.95" customHeight="1" collapsed="1" x14ac:dyDescent="0.35">
      <c r="A111" s="8"/>
      <c r="B111" s="10"/>
      <c r="C111" s="10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45"/>
      <c r="AC111" s="45"/>
      <c r="AD111" s="45"/>
      <c r="AE111" s="45"/>
      <c r="AF111" s="45"/>
      <c r="AG111" s="45"/>
      <c r="AH111" s="44"/>
      <c r="AI111" s="36"/>
      <c r="AJ111" s="36"/>
      <c r="AK111" s="11"/>
      <c r="AL111" s="11"/>
      <c r="AM111" s="44"/>
    </row>
    <row r="112" spans="1:42" s="52" customFormat="1" ht="15" x14ac:dyDescent="0.35">
      <c r="A112" s="46" t="s">
        <v>6</v>
      </c>
      <c r="B112" s="74" t="s">
        <v>26</v>
      </c>
      <c r="C112" s="47"/>
      <c r="D112" s="48">
        <v>331387.72350000002</v>
      </c>
      <c r="E112" s="48">
        <v>1567.1576675322126</v>
      </c>
      <c r="F112" s="48"/>
      <c r="G112" s="48"/>
      <c r="H112" s="48"/>
      <c r="I112" s="48"/>
      <c r="J112" s="48"/>
      <c r="K112" s="48"/>
      <c r="L112" s="48"/>
      <c r="M112" s="48"/>
      <c r="N112" s="55"/>
      <c r="O112" s="48"/>
      <c r="P112" s="48"/>
      <c r="Q112" s="48"/>
      <c r="R112" s="48"/>
      <c r="S112" s="48" t="s">
        <v>3</v>
      </c>
      <c r="T112" s="48"/>
      <c r="U112" s="48"/>
      <c r="V112" s="48"/>
      <c r="W112" s="48"/>
      <c r="X112" s="48"/>
      <c r="Y112" s="48"/>
      <c r="Z112" s="48"/>
      <c r="AA112" s="48"/>
      <c r="AB112" s="50">
        <f t="shared" ref="AB112" si="44">SUM(AB113:AB117)</f>
        <v>0</v>
      </c>
      <c r="AC112" s="50">
        <f t="shared" ref="AC112:AF112" si="45">SUM(AC113:AC117)</f>
        <v>32342.699379739614</v>
      </c>
      <c r="AD112" s="50">
        <f t="shared" si="45"/>
        <v>72608.670238310879</v>
      </c>
      <c r="AE112" s="50">
        <f t="shared" si="45"/>
        <v>41867.684078022256</v>
      </c>
      <c r="AF112" s="50">
        <f t="shared" si="45"/>
        <v>150680.69263518852</v>
      </c>
      <c r="AG112" s="50">
        <f>SUM(AG113:AG117)</f>
        <v>51569.281997231868</v>
      </c>
      <c r="AH112" s="51">
        <f t="shared" ref="AH112:AH117" si="46">SUM(AB112:AG112)</f>
        <v>349069.02832849312</v>
      </c>
      <c r="AI112" s="57">
        <f xml:space="preserve"> IF( AH112 &lt;&gt; 0, AH112- D112, 0)</f>
        <v>17681.304828493099</v>
      </c>
      <c r="AJ112" s="58">
        <f xml:space="preserve"> AI112 / D112</f>
        <v>5.3355340510956188E-2</v>
      </c>
      <c r="AK112" s="96">
        <f xml:space="preserve"> 100% * (1 + $AK$6) * (1 + $AK$7)</f>
        <v>1.0624506299999998</v>
      </c>
      <c r="AL112" s="96">
        <f xml:space="preserve"> 100% * (1 + $AL$6) * (1 + $AL$7)</f>
        <v>1.07985424</v>
      </c>
      <c r="AM112" s="51">
        <f xml:space="preserve"> (SUM( AB112, AF112) * AK112) + (SUM( AC112:AE112, AG112) * AL112)</f>
        <v>374321.28228405071</v>
      </c>
      <c r="AN112" s="57">
        <f xml:space="preserve"> AM112 - AH112</f>
        <v>25252.253955557593</v>
      </c>
      <c r="AO112" s="58">
        <f xml:space="preserve"> (AM112 - AH112) / AH112</f>
        <v>7.2341720136207086E-2</v>
      </c>
      <c r="AP112" s="53"/>
    </row>
    <row r="113" spans="1:39" ht="15" hidden="1" outlineLevel="1" x14ac:dyDescent="0.35">
      <c r="A113" s="8"/>
      <c r="B113" s="80">
        <f xml:space="preserve"> D113 - I113 - L113 - O113 - R113</f>
        <v>0</v>
      </c>
      <c r="C113" s="9" t="s">
        <v>7</v>
      </c>
      <c r="D113" s="11">
        <v>129371.9975</v>
      </c>
      <c r="E113" s="11">
        <v>683.02121407646712</v>
      </c>
      <c r="F113" s="11"/>
      <c r="G113" s="11">
        <f xml:space="preserve"> E113 * ( H113 / V113)</f>
        <v>340.92214448661178</v>
      </c>
      <c r="H113" s="21">
        <v>16.990672557682867</v>
      </c>
      <c r="I113" s="78">
        <f xml:space="preserve"> E113 * H113</f>
        <v>11604.989798324264</v>
      </c>
      <c r="J113" s="11">
        <f xml:space="preserve"> E113</f>
        <v>683.02121407646712</v>
      </c>
      <c r="K113" s="11">
        <f t="shared" ref="K113:K114" si="47">W113 + X113</f>
        <v>77.570000000000007</v>
      </c>
      <c r="L113" s="78">
        <f xml:space="preserve"> J113 * K113</f>
        <v>52981.955575911561</v>
      </c>
      <c r="M113" s="11">
        <f xml:space="preserve"> (D113 - I113 - L113 - R113) / N113</f>
        <v>835.11839007968081</v>
      </c>
      <c r="N113" s="18">
        <f xml:space="preserve"> H$51</f>
        <v>50.662739322533149</v>
      </c>
      <c r="O113" s="78">
        <f xml:space="preserve"> M113 * N113</f>
        <v>42309.385300060421</v>
      </c>
      <c r="P113" s="11">
        <v>576.29914937701915</v>
      </c>
      <c r="Q113" s="11">
        <f t="shared" ref="Q113:Q116" si="48" xml:space="preserve"> Z113 * ( 1 - $Q$83)</f>
        <v>39</v>
      </c>
      <c r="R113" s="78">
        <f xml:space="preserve"> P113 * Q113</f>
        <v>22475.666825703745</v>
      </c>
      <c r="S113" s="11" t="s">
        <v>3</v>
      </c>
      <c r="T113" s="11"/>
      <c r="U113" s="12"/>
      <c r="V113" s="20">
        <f xml:space="preserve"> V$64</f>
        <v>34.04</v>
      </c>
      <c r="W113" s="20">
        <v>49.13</v>
      </c>
      <c r="X113" s="20">
        <v>28.44</v>
      </c>
      <c r="Y113" s="20">
        <v>56.59</v>
      </c>
      <c r="Z113" s="12">
        <v>39</v>
      </c>
      <c r="AA113" s="11"/>
      <c r="AB113" s="45"/>
      <c r="AC113" s="45">
        <f xml:space="preserve"> (G113 * V113) * ( 1 + $AQ$8)</f>
        <v>12006.653449490972</v>
      </c>
      <c r="AD113" s="45">
        <f xml:space="preserve"> J113 * W113</f>
        <v>33556.832247576829</v>
      </c>
      <c r="AE113" s="45">
        <f xml:space="preserve"> J113 * X113</f>
        <v>19425.123328334725</v>
      </c>
      <c r="AF113" s="45">
        <f xml:space="preserve"> (M113 * Y113) * ( 1 + $AQ$8)</f>
        <v>48895.056686169097</v>
      </c>
      <c r="AG113" s="45">
        <f xml:space="preserve"> P113 * Z113</f>
        <v>22475.666825703745</v>
      </c>
      <c r="AH113" s="44">
        <f t="shared" si="46"/>
        <v>136359.33253727536</v>
      </c>
      <c r="AK113" s="95"/>
      <c r="AL113" s="95"/>
      <c r="AM113" s="44"/>
    </row>
    <row r="114" spans="1:39" ht="15" hidden="1" outlineLevel="1" x14ac:dyDescent="0.35">
      <c r="A114" s="8"/>
      <c r="B114" s="80">
        <f t="shared" ref="B114:B117" si="49" xml:space="preserve"> D114 - I114 - L114 - O114 - R114</f>
        <v>0</v>
      </c>
      <c r="C114" s="9" t="s">
        <v>8</v>
      </c>
      <c r="D114" s="11">
        <v>169242.78200000001</v>
      </c>
      <c r="E114" s="11">
        <v>722.5347557737598</v>
      </c>
      <c r="F114" s="11"/>
      <c r="G114" s="11">
        <f xml:space="preserve"> E114 * ( H114 / V114)</f>
        <v>521.69793224116552</v>
      </c>
      <c r="H114" s="21">
        <v>23.567337587956143</v>
      </c>
      <c r="I114" s="78">
        <f xml:space="preserve"> E114 * H114</f>
        <v>17028.220508351642</v>
      </c>
      <c r="J114" s="11">
        <f xml:space="preserve"> E114</f>
        <v>722.5347557737598</v>
      </c>
      <c r="K114" s="11">
        <f t="shared" si="47"/>
        <v>67.760000000000005</v>
      </c>
      <c r="L114" s="78">
        <f xml:space="preserve"> J114 * K114</f>
        <v>48958.955051229968</v>
      </c>
      <c r="M114" s="11">
        <f xml:space="preserve"> (D114 - I114 - L114 - R114) / N114</f>
        <v>1737.1259985022107</v>
      </c>
      <c r="N114" s="18">
        <f xml:space="preserve"> H$52</f>
        <v>45.753559155621019</v>
      </c>
      <c r="O114" s="78">
        <f xml:space="preserve"> M114 * N114</f>
        <v>79479.697133238122</v>
      </c>
      <c r="P114" s="11">
        <v>609.63870018410978</v>
      </c>
      <c r="Q114" s="11">
        <f t="shared" si="48"/>
        <v>39</v>
      </c>
      <c r="R114" s="78">
        <f xml:space="preserve"> P114 * Q114</f>
        <v>23775.909307180282</v>
      </c>
      <c r="S114" s="11" t="s">
        <v>3</v>
      </c>
      <c r="T114" s="11"/>
      <c r="U114" s="12"/>
      <c r="V114" s="20">
        <f xml:space="preserve"> V$65</f>
        <v>32.64</v>
      </c>
      <c r="W114" s="20">
        <v>43.06</v>
      </c>
      <c r="X114" s="20">
        <v>24.7</v>
      </c>
      <c r="Y114" s="20">
        <v>48.73</v>
      </c>
      <c r="Z114" s="12">
        <v>39</v>
      </c>
      <c r="AA114" s="11"/>
      <c r="AB114" s="45"/>
      <c r="AC114" s="45">
        <f xml:space="preserve"> (G114 * V114) * ( 1 + $AQ$8)</f>
        <v>17617.589162794058</v>
      </c>
      <c r="AD114" s="45">
        <f xml:space="preserve"> J114 * W114</f>
        <v>31112.346583618099</v>
      </c>
      <c r="AE114" s="45">
        <f xml:space="preserve"> J114 * X114</f>
        <v>17846.608467611866</v>
      </c>
      <c r="AF114" s="45">
        <f xml:space="preserve"> (M114 * Y114) * ( 1 + $AQ$8)</f>
        <v>87580.000675892283</v>
      </c>
      <c r="AG114" s="45">
        <f xml:space="preserve"> P114 * Z114</f>
        <v>23775.909307180282</v>
      </c>
      <c r="AH114" s="44">
        <f t="shared" si="46"/>
        <v>177932.45419709661</v>
      </c>
      <c r="AK114" s="95"/>
      <c r="AL114" s="95"/>
      <c r="AM114" s="44"/>
    </row>
    <row r="115" spans="1:39" ht="15" hidden="1" outlineLevel="1" x14ac:dyDescent="0.35">
      <c r="A115" s="8"/>
      <c r="B115" s="80">
        <f t="shared" si="49"/>
        <v>0</v>
      </c>
      <c r="C115" s="9" t="s">
        <v>10</v>
      </c>
      <c r="D115" s="11">
        <v>0</v>
      </c>
      <c r="E115" s="11">
        <v>0</v>
      </c>
      <c r="F115" s="11"/>
      <c r="G115" s="11">
        <f xml:space="preserve"> E115 * ( H115 / V115)</f>
        <v>0</v>
      </c>
      <c r="H115" s="21"/>
      <c r="I115" s="78">
        <f xml:space="preserve"> E115 * H115</f>
        <v>0</v>
      </c>
      <c r="J115" s="11">
        <f xml:space="preserve"> E115</f>
        <v>0</v>
      </c>
      <c r="K115" s="11"/>
      <c r="L115" s="78">
        <f xml:space="preserve"> J115 * K115</f>
        <v>0</v>
      </c>
      <c r="M115" s="11"/>
      <c r="N115" s="18"/>
      <c r="O115" s="78"/>
      <c r="P115" s="11"/>
      <c r="Q115" s="11"/>
      <c r="R115" s="78"/>
      <c r="S115" s="11" t="s">
        <v>3</v>
      </c>
      <c r="T115" s="11"/>
      <c r="U115" s="12"/>
      <c r="V115" s="20">
        <f xml:space="preserve"> V$66</f>
        <v>34.04</v>
      </c>
      <c r="W115" s="20">
        <v>47.68</v>
      </c>
      <c r="X115" s="20">
        <v>27.17</v>
      </c>
      <c r="Y115" s="20">
        <v>61.6</v>
      </c>
      <c r="Z115" s="12">
        <v>39</v>
      </c>
      <c r="AA115" s="11"/>
      <c r="AB115" s="45"/>
      <c r="AC115" s="45">
        <f xml:space="preserve"> (G115 * V115) * ( 1 + $AQ$8)</f>
        <v>0</v>
      </c>
      <c r="AD115" s="45">
        <f xml:space="preserve"> J115 * W115</f>
        <v>0</v>
      </c>
      <c r="AE115" s="45">
        <f xml:space="preserve"> J115 * X115</f>
        <v>0</v>
      </c>
      <c r="AF115" s="45">
        <f xml:space="preserve"> (M115 * Y115) * ( 1 + $AQ$8)</f>
        <v>0</v>
      </c>
      <c r="AG115" s="45">
        <f xml:space="preserve"> P115 * Z115</f>
        <v>0</v>
      </c>
      <c r="AH115" s="44">
        <f t="shared" si="46"/>
        <v>0</v>
      </c>
      <c r="AK115" s="95"/>
      <c r="AL115" s="95"/>
      <c r="AM115" s="44"/>
    </row>
    <row r="116" spans="1:39" ht="15" hidden="1" outlineLevel="1" x14ac:dyDescent="0.35">
      <c r="A116" s="8"/>
      <c r="B116" s="80">
        <f t="shared" si="49"/>
        <v>0</v>
      </c>
      <c r="C116" s="9" t="s">
        <v>9</v>
      </c>
      <c r="D116" s="11">
        <v>32772.943999999996</v>
      </c>
      <c r="E116" s="11">
        <v>161.60169768198557</v>
      </c>
      <c r="F116" s="11"/>
      <c r="G116" s="11">
        <f xml:space="preserve"> E116 * ( H116 / V116)</f>
        <v>77.189044787001023</v>
      </c>
      <c r="H116" s="21">
        <v>16.259204712812959</v>
      </c>
      <c r="I116" s="78">
        <f xml:space="preserve"> E116 * H116</f>
        <v>2627.515084549515</v>
      </c>
      <c r="J116" s="11">
        <f xml:space="preserve"> E116</f>
        <v>161.60169768198557</v>
      </c>
      <c r="K116" s="11">
        <f t="shared" ref="K116" si="50">W116 + X116</f>
        <v>77.570000000000007</v>
      </c>
      <c r="L116" s="78">
        <f xml:space="preserve"> J116 * K116</f>
        <v>12535.443689191621</v>
      </c>
      <c r="M116" s="11">
        <f xml:space="preserve"> (D116 - I116 - L116 - R116) / N116</f>
        <v>242.62958391679024</v>
      </c>
      <c r="N116" s="22">
        <f xml:space="preserve"> H$53</f>
        <v>50.662739322533142</v>
      </c>
      <c r="O116" s="78">
        <f xml:space="preserve"> M116 * N116</f>
        <v>12292.279361911023</v>
      </c>
      <c r="P116" s="11">
        <v>136.35143241917532</v>
      </c>
      <c r="Q116" s="11">
        <f t="shared" si="48"/>
        <v>39</v>
      </c>
      <c r="R116" s="78">
        <f xml:space="preserve"> P116 * Q116</f>
        <v>5317.7058643478376</v>
      </c>
      <c r="S116" s="11" t="s">
        <v>3</v>
      </c>
      <c r="T116" s="11"/>
      <c r="U116" s="12"/>
      <c r="V116" s="20">
        <f xml:space="preserve"> V$67</f>
        <v>34.04</v>
      </c>
      <c r="W116" s="20">
        <v>49.13</v>
      </c>
      <c r="X116" s="20">
        <v>28.44</v>
      </c>
      <c r="Y116" s="20">
        <v>56.59</v>
      </c>
      <c r="Z116" s="12">
        <v>39</v>
      </c>
      <c r="AA116" s="11"/>
      <c r="AB116" s="45"/>
      <c r="AC116" s="45">
        <f xml:space="preserve"> (G116 * V116) * ( 1 + $AQ$8)</f>
        <v>2718.4567674545833</v>
      </c>
      <c r="AD116" s="45">
        <f xml:space="preserve"> J116 * W116</f>
        <v>7939.4914071159519</v>
      </c>
      <c r="AE116" s="45">
        <f xml:space="preserve"> J116 * X116</f>
        <v>4595.9522820756702</v>
      </c>
      <c r="AF116" s="45">
        <f xml:space="preserve"> (M116 * Y116) * ( 1 + $AQ$8)</f>
        <v>14205.635273127158</v>
      </c>
      <c r="AG116" s="45">
        <f xml:space="preserve"> P116 * Z116</f>
        <v>5317.7058643478376</v>
      </c>
      <c r="AH116" s="44">
        <f t="shared" si="46"/>
        <v>34777.241594121202</v>
      </c>
      <c r="AK116" s="95"/>
      <c r="AL116" s="95"/>
      <c r="AM116" s="44"/>
    </row>
    <row r="117" spans="1:39" ht="15" hidden="1" outlineLevel="1" x14ac:dyDescent="0.35">
      <c r="A117" s="8"/>
      <c r="B117" s="80">
        <f t="shared" si="49"/>
        <v>0</v>
      </c>
      <c r="C117" s="79" t="s">
        <v>11</v>
      </c>
      <c r="D117" s="82">
        <v>0</v>
      </c>
      <c r="E117" s="82">
        <v>0</v>
      </c>
      <c r="F117" s="82"/>
      <c r="G117" s="82"/>
      <c r="H117" s="82"/>
      <c r="I117" s="83"/>
      <c r="J117" s="84"/>
      <c r="K117" s="82"/>
      <c r="L117" s="83"/>
      <c r="M117" s="82"/>
      <c r="N117" s="82"/>
      <c r="O117" s="83"/>
      <c r="P117" s="82"/>
      <c r="Q117" s="82"/>
      <c r="R117" s="83"/>
      <c r="S117" s="82" t="s">
        <v>3</v>
      </c>
      <c r="T117" s="82"/>
      <c r="U117" s="85"/>
      <c r="V117" s="86">
        <f xml:space="preserve"> V$68</f>
        <v>30.51</v>
      </c>
      <c r="W117" s="20">
        <v>43.06</v>
      </c>
      <c r="X117" s="20">
        <v>24.7</v>
      </c>
      <c r="Y117" s="86">
        <v>48.73</v>
      </c>
      <c r="Z117" s="85">
        <v>39</v>
      </c>
      <c r="AA117" s="82"/>
      <c r="AB117" s="87"/>
      <c r="AC117" s="87">
        <f xml:space="preserve"> (G117 * V117) * ( 1 + $AQ$8)</f>
        <v>0</v>
      </c>
      <c r="AD117" s="87">
        <f xml:space="preserve"> J117 * W117</f>
        <v>0</v>
      </c>
      <c r="AE117" s="87">
        <f xml:space="preserve"> J117 * X117</f>
        <v>0</v>
      </c>
      <c r="AF117" s="87">
        <f xml:space="preserve"> (M117 * Y117) * ( 1 + $AQ$8)</f>
        <v>0</v>
      </c>
      <c r="AG117" s="87">
        <f xml:space="preserve"> P117 * Z117</f>
        <v>0</v>
      </c>
      <c r="AH117" s="44">
        <f t="shared" si="46"/>
        <v>0</v>
      </c>
      <c r="AK117" s="95"/>
      <c r="AL117" s="95"/>
      <c r="AM117" s="44"/>
    </row>
    <row r="118" spans="1:39" ht="15" collapsed="1" x14ac:dyDescent="0.3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25"/>
      <c r="AK118" s="6"/>
      <c r="AL118" s="6"/>
      <c r="AM118" s="25"/>
    </row>
    <row r="119" spans="1:39" ht="15.6" thickBot="1" x14ac:dyDescent="0.35">
      <c r="A119" s="88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  <c r="AH119" s="89"/>
      <c r="AK119" s="88"/>
      <c r="AL119" s="108"/>
      <c r="AM119" s="89"/>
    </row>
    <row r="120" spans="1:39" x14ac:dyDescent="0.3">
      <c r="AK120" s="6"/>
    </row>
  </sheetData>
  <mergeCells count="4">
    <mergeCell ref="I2:I4"/>
    <mergeCell ref="L2:L4"/>
    <mergeCell ref="O2:O4"/>
    <mergeCell ref="R2:R4"/>
  </mergeCells>
  <conditionalFormatting sqref="D12">
    <cfRule type="cellIs" dxfId="11" priority="3" stopIfTrue="1" operator="notEqual">
      <formula>0</formula>
    </cfRule>
    <cfRule type="cellIs" dxfId="10" priority="4" stopIfTrue="1" operator="equal">
      <formula>""</formula>
    </cfRule>
  </conditionalFormatting>
  <conditionalFormatting sqref="B12:C12">
    <cfRule type="cellIs" dxfId="9" priority="1" stopIfTrue="1" operator="notEqual">
      <formula>0</formula>
    </cfRule>
    <cfRule type="cellIs" dxfId="8" priority="2" stopIfTrue="1" operator="equal">
      <formula>""</formula>
    </cfRule>
  </conditionalFormatting>
  <conditionalFormatting sqref="B113:B117">
    <cfRule type="cellIs" dxfId="7" priority="5" stopIfTrue="1" operator="notEqual">
      <formula>0</formula>
    </cfRule>
    <cfRule type="cellIs" dxfId="6" priority="6" stopIfTrue="1" operator="equal">
      <formula>""</formula>
    </cfRule>
  </conditionalFormatting>
  <conditionalFormatting sqref="B106:B110">
    <cfRule type="cellIs" dxfId="5" priority="7" stopIfTrue="1" operator="notEqual">
      <formula>0</formula>
    </cfRule>
    <cfRule type="cellIs" dxfId="4" priority="8" stopIfTrue="1" operator="equal">
      <formula>""</formula>
    </cfRule>
  </conditionalFormatting>
  <conditionalFormatting sqref="B92:B96">
    <cfRule type="cellIs" dxfId="3" priority="9" stopIfTrue="1" operator="notEqual">
      <formula>0</formula>
    </cfRule>
    <cfRule type="cellIs" dxfId="2" priority="10" stopIfTrue="1" operator="equal">
      <formula>""</formula>
    </cfRule>
  </conditionalFormatting>
  <conditionalFormatting sqref="B85:B89">
    <cfRule type="cellIs" dxfId="1" priority="11" stopIfTrue="1" operator="notEqual">
      <formula>0</formula>
    </cfRule>
    <cfRule type="cellIs" dxfId="0" priority="12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99F3624B59614EA54D7B143317B441" ma:contentTypeVersion="" ma:contentTypeDescription="Create a new document." ma:contentTypeScope="" ma:versionID="cf8569fb2536c102bd57431556b41640">
  <xsd:schema xmlns:xsd="http://www.w3.org/2001/XMLSchema" xmlns:xs="http://www.w3.org/2001/XMLSchema" xmlns:p="http://schemas.microsoft.com/office/2006/metadata/properties" xmlns:ns1="http://schemas.microsoft.com/sharepoint/v3" xmlns:ns2="e722d3c4-5633-40de-9150-dbf9b67024c0" xmlns:ns3="203c0d2d-9c8c-44e5-9724-d7b86ef69e66" targetNamespace="http://schemas.microsoft.com/office/2006/metadata/properties" ma:root="true" ma:fieldsID="cf364e1c79a70081f5c9c9fb0fca649d" ns1:_="" ns2:_="" ns3:_="">
    <xsd:import namespace="http://schemas.microsoft.com/sharepoint/v3"/>
    <xsd:import namespace="e722d3c4-5633-40de-9150-dbf9b67024c0"/>
    <xsd:import namespace="203c0d2d-9c8c-44e5-9724-d7b86ef69e6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2d3c4-5633-40de-9150-dbf9b67024c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3c0d2d-9c8c-44e5-9724-d7b86ef69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4F1D359-1FF3-4D7E-BE0F-C1D30DE7F4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EEBEEA-423A-4F50-83AB-782B6200BF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722d3c4-5633-40de-9150-dbf9b67024c0"/>
    <ds:schemaRef ds:uri="203c0d2d-9c8c-44e5-9724-d7b86ef69e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8C14BE-23A8-44A2-AA0F-6373C268A692}">
  <ds:schemaRefs>
    <ds:schemaRef ds:uri="http://schemas.openxmlformats.org/package/2006/metadata/core-properties"/>
    <ds:schemaRef ds:uri="http://schemas.microsoft.com/office/2006/documentManagement/types"/>
    <ds:schemaRef ds:uri="http://schemas.microsoft.com/sharepoint/v3"/>
    <ds:schemaRef ds:uri="e722d3c4-5633-40de-9150-dbf9b67024c0"/>
    <ds:schemaRef ds:uri="http://www.w3.org/XML/1998/namespace"/>
    <ds:schemaRef ds:uri="http://schemas.microsoft.com/office/infopath/2007/PartnerControls"/>
    <ds:schemaRef ds:uri="203c0d2d-9c8c-44e5-9724-d7b86ef69e66"/>
    <ds:schemaRef ds:uri="http://purl.org/dc/terms/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Was-wordt analyse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Erwin Post</cp:lastModifiedBy>
  <dcterms:created xsi:type="dcterms:W3CDTF">2021-11-11T15:59:14Z</dcterms:created>
  <dcterms:modified xsi:type="dcterms:W3CDTF">2022-04-06T15:22:31Z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0x010100D999F3624B59614EA54D7B143317B441</vt:lpwstr>
  </property>
</Properties>
</file>