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hidePivotFieldList="1"/>
  <mc:AlternateContent xmlns:mc="http://schemas.openxmlformats.org/markup-compatibility/2006">
    <mc:Choice Requires="x15">
      <x15ac:absPath xmlns:x15ac="http://schemas.microsoft.com/office/spreadsheetml/2010/11/ac" url="https://inkada.sharepoint.com/Gedeelde documenten/10 Projecten/Amstelveen College/Schoonmaak 2022/Bestek/"/>
    </mc:Choice>
  </mc:AlternateContent>
  <xr:revisionPtr revIDLastSave="1843" documentId="8_{F54D4D51-C544-469C-929D-B55C2B1E4557}" xr6:coauthVersionLast="47" xr6:coauthVersionMax="47" xr10:uidLastSave="{2D34CA49-2F45-4347-8838-0A2A5058A196}"/>
  <bookViews>
    <workbookView xWindow="-120" yWindow="-120" windowWidth="29040" windowHeight="15840" tabRatio="786" xr2:uid="{00000000-000D-0000-FFFF-FFFF00000000}"/>
  </bookViews>
  <sheets>
    <sheet name="Opleverstaat dagelijks" sheetId="21" r:id="rId1"/>
    <sheet name="Werkprogramma periodiek" sheetId="27" r:id="rId2"/>
    <sheet name="Werkprogramma dieptereinigen" sheetId="28" r:id="rId3"/>
    <sheet name="Tariefsopbouw" sheetId="2" r:id="rId4"/>
    <sheet name="Prestatiefactoren" sheetId="11" r:id="rId5"/>
    <sheet name="Ruimtestaat" sheetId="13" r:id="rId6"/>
    <sheet name="Vloeronderhoud" sheetId="25" r:id="rId7"/>
    <sheet name="Extra werkzaamheden" sheetId="26" r:id="rId8"/>
    <sheet name="Regie en afroep" sheetId="24" r:id="rId9"/>
    <sheet name="Totalisatie" sheetId="19" r:id="rId10"/>
  </sheets>
  <externalReferences>
    <externalReference r:id="rId11"/>
    <externalReference r:id="rId12"/>
  </externalReferences>
  <definedNames>
    <definedName name="_1F" localSheetId="7" hidden="1">[1]Psychiatrie!#REF!</definedName>
    <definedName name="_1F" localSheetId="6" hidden="1">[1]Psychiatrie!#REF!</definedName>
    <definedName name="_1F" hidden="1">[1]Psychiatrie!#REF!</definedName>
    <definedName name="_2_0_F" localSheetId="7" hidden="1">[1]Psychiatrie!#REF!</definedName>
    <definedName name="_2_0_F" localSheetId="6" hidden="1">[1]Psychiatrie!#REF!</definedName>
    <definedName name="_2_0_F" hidden="1">[1]Psychiatrie!#REF!</definedName>
    <definedName name="_Dist_Bin" localSheetId="7" hidden="1">#REF!</definedName>
    <definedName name="_Dist_Bin" localSheetId="6" hidden="1">#REF!</definedName>
    <definedName name="_Dist_Bin" hidden="1">#REF!</definedName>
    <definedName name="_Dist_Values" localSheetId="7" hidden="1">#REF!</definedName>
    <definedName name="_Dist_Values" localSheetId="6" hidden="1">#REF!</definedName>
    <definedName name="_Dist_Values" hidden="1">#REF!</definedName>
    <definedName name="_Fill" localSheetId="7" hidden="1">'[2]#REF'!#REF!</definedName>
    <definedName name="_Fill" localSheetId="6" hidden="1">'[2]#REF'!#REF!</definedName>
    <definedName name="_Fill" hidden="1">'[2]#REF'!#REF!</definedName>
    <definedName name="_xlnm._FilterDatabase" localSheetId="5" hidden="1">'Ruimtestaat'!$B$4:$S$263</definedName>
    <definedName name="_xlnm._FilterDatabase" localSheetId="9" hidden="1">Totalisatie!#REF!</definedName>
    <definedName name="_Key1" localSheetId="7" hidden="1">'[2]#REF'!#REF!</definedName>
    <definedName name="_Key1" localSheetId="6" hidden="1">'[2]#REF'!#REF!</definedName>
    <definedName name="_Key1" hidden="1">'[2]#REF'!#REF!</definedName>
    <definedName name="_Order1" hidden="1">255</definedName>
    <definedName name="_Sort" localSheetId="7" hidden="1">#REF!</definedName>
    <definedName name="_Sort" localSheetId="6" hidden="1">#REF!</definedName>
    <definedName name="_Sort" hidden="1">#REF!</definedName>
    <definedName name="_Table1_In1" localSheetId="7" hidden="1">#REF!</definedName>
    <definedName name="_Table1_In1" localSheetId="6" hidden="1">#REF!</definedName>
    <definedName name="_Table1_In1" hidden="1">#REF!</definedName>
    <definedName name="_Table1_Out" localSheetId="7" hidden="1">#REF!</definedName>
    <definedName name="_Table1_Out" localSheetId="6" hidden="1">#REF!</definedName>
    <definedName name="_Table1_Out" hidden="1">#REF!</definedName>
    <definedName name="_Toc233614100" localSheetId="8">'Regie en afroep'!#REF!</definedName>
    <definedName name="_Toc256089721" localSheetId="8">'Regie en afroep'!#REF!</definedName>
    <definedName name="AccessDatabase" hidden="1">"C:\data\excel\BASISWP.mdb"</definedName>
    <definedName name="_xlnm.Print_Area" localSheetId="7">'Extra werkzaamheden'!$A$1:$H$20</definedName>
    <definedName name="_xlnm.Print_Area" localSheetId="0">'Opleverstaat dagelijks'!#REF!</definedName>
    <definedName name="_xlnm.Print_Area" localSheetId="4">Prestatiefactoren!$A$1:$F$50</definedName>
    <definedName name="_xlnm.Print_Area" localSheetId="8">'Regie en afroep'!$A$1:$D$41</definedName>
    <definedName name="_xlnm.Print_Area" localSheetId="5">'Ruimtestaat'!$A$1:$AG$263</definedName>
    <definedName name="_xlnm.Print_Area" localSheetId="3">Tariefsopbouw!$A$1:$Q$42</definedName>
    <definedName name="_xlnm.Print_Area" localSheetId="9">Totalisatie!$A$1:$H$22</definedName>
    <definedName name="_xlnm.Print_Area" localSheetId="6">Vloeronderhoud!$A$1:$H$25</definedName>
    <definedName name="_xlnm.Print_Area" localSheetId="2">'Werkprogramma dieptereinigen'!$A$1:$A$15</definedName>
    <definedName name="_xlnm.Print_Titles" localSheetId="5">'Ruimtestaat'!$A:$H,'Ruimtestaat'!$2:$4</definedName>
    <definedName name="arbeidsprestatie" localSheetId="7">Prestatiefactoren!#REF!</definedName>
    <definedName name="arbeidsprestatie" localSheetId="6">Prestatiefactoren!#REF!</definedName>
    <definedName name="arbeidsprestatie">Prestatiefactoren!#REF!</definedName>
    <definedName name="freq" localSheetId="7">'Opleverstaat dagelijks'!#REF!</definedName>
    <definedName name="freq" localSheetId="6">'Opleverstaat dagelijks'!#REF!</definedName>
    <definedName name="freq">'Opleverstaat dagelijks'!#REF!</definedName>
    <definedName name="OLE_LINK9" localSheetId="8">'Regie en afroep'!#REF!</definedName>
    <definedName name="programma">#REF!</definedName>
    <definedName name="R_Code" localSheetId="7">Prestatiefactoren!#REF!</definedName>
    <definedName name="R_Code" localSheetId="6">Prestatiefactoren!#REF!</definedName>
    <definedName name="R_Code">Prestatiefactoren!#REF!</definedName>
    <definedName name="Vl_Code" localSheetId="7">Prestatiefactoren!#REF!</definedName>
    <definedName name="Vl_Code" localSheetId="6">Prestatiefactoren!#REF!</definedName>
    <definedName name="Vl_Code">Prestatiefactoren!#REF!</definedName>
    <definedName name="vloer" localSheetId="7">'Opleverstaat dagelijks'!#REF!</definedName>
    <definedName name="vloer" localSheetId="6">'Opleverstaat dagelijks'!#REF!</definedName>
    <definedName name="vloer">'Opleverstaat dagelijks'!#REF!</definedName>
    <definedName name="wk" localSheetId="7">'Opleverstaat dagelijks'!#REF!</definedName>
    <definedName name="wk" localSheetId="6">'Opleverstaat dagelijks'!#REF!</definedName>
    <definedName name="wk">'Opleverstaat dagelijks'!#REF!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6" l="1"/>
  <c r="F12" i="24"/>
  <c r="G12" i="24" s="1"/>
  <c r="H12" i="24" s="1"/>
  <c r="I12" i="24" s="1"/>
  <c r="F15" i="24"/>
  <c r="G15" i="24" s="1"/>
  <c r="H15" i="24" s="1"/>
  <c r="I15" i="24" s="1"/>
  <c r="F18" i="24"/>
  <c r="G18" i="24" s="1"/>
  <c r="H18" i="24" s="1"/>
  <c r="I18" i="24" s="1"/>
  <c r="F21" i="24"/>
  <c r="G21" i="24" s="1"/>
  <c r="H21" i="24" s="1"/>
  <c r="I21" i="24" s="1"/>
  <c r="F24" i="24"/>
  <c r="G24" i="24" s="1"/>
  <c r="H24" i="24" s="1"/>
  <c r="I24" i="24" s="1"/>
  <c r="F27" i="24"/>
  <c r="G27" i="24" s="1"/>
  <c r="H27" i="24" s="1"/>
  <c r="I27" i="24" s="1"/>
  <c r="F30" i="24"/>
  <c r="G30" i="24" s="1"/>
  <c r="H30" i="24" s="1"/>
  <c r="I30" i="24" s="1"/>
  <c r="F33" i="24"/>
  <c r="G33" i="24" s="1"/>
  <c r="H33" i="24" s="1"/>
  <c r="I33" i="24" s="1"/>
  <c r="F36" i="24"/>
  <c r="G36" i="24" s="1"/>
  <c r="H36" i="24" s="1"/>
  <c r="I36" i="24" s="1"/>
  <c r="F39" i="24"/>
  <c r="G39" i="24" s="1"/>
  <c r="H39" i="24" s="1"/>
  <c r="I39" i="24" s="1"/>
  <c r="E9" i="24"/>
  <c r="F9" i="24" s="1"/>
  <c r="G9" i="24" s="1"/>
  <c r="H9" i="24" s="1"/>
  <c r="I9" i="24" s="1"/>
  <c r="E10" i="24"/>
  <c r="F10" i="24" s="1"/>
  <c r="G10" i="24" s="1"/>
  <c r="H10" i="24" s="1"/>
  <c r="I10" i="24" s="1"/>
  <c r="E11" i="24"/>
  <c r="F11" i="24" s="1"/>
  <c r="G11" i="24" s="1"/>
  <c r="H11" i="24" s="1"/>
  <c r="I11" i="24" s="1"/>
  <c r="E12" i="24"/>
  <c r="E13" i="24"/>
  <c r="F13" i="24" s="1"/>
  <c r="G13" i="24" s="1"/>
  <c r="H13" i="24" s="1"/>
  <c r="I13" i="24" s="1"/>
  <c r="E14" i="24"/>
  <c r="F14" i="24" s="1"/>
  <c r="G14" i="24" s="1"/>
  <c r="H14" i="24" s="1"/>
  <c r="I14" i="24" s="1"/>
  <c r="E15" i="24"/>
  <c r="E16" i="24"/>
  <c r="F16" i="24" s="1"/>
  <c r="G16" i="24" s="1"/>
  <c r="H16" i="24" s="1"/>
  <c r="I16" i="24" s="1"/>
  <c r="E17" i="24"/>
  <c r="F17" i="24" s="1"/>
  <c r="G17" i="24" s="1"/>
  <c r="H17" i="24" s="1"/>
  <c r="I17" i="24" s="1"/>
  <c r="E18" i="24"/>
  <c r="E19" i="24"/>
  <c r="F19" i="24" s="1"/>
  <c r="G19" i="24" s="1"/>
  <c r="H19" i="24" s="1"/>
  <c r="I19" i="24" s="1"/>
  <c r="E20" i="24"/>
  <c r="F20" i="24" s="1"/>
  <c r="G20" i="24" s="1"/>
  <c r="H20" i="24" s="1"/>
  <c r="I20" i="24" s="1"/>
  <c r="E21" i="24"/>
  <c r="E22" i="24"/>
  <c r="F22" i="24" s="1"/>
  <c r="G22" i="24" s="1"/>
  <c r="H22" i="24" s="1"/>
  <c r="I22" i="24" s="1"/>
  <c r="E23" i="24"/>
  <c r="F23" i="24" s="1"/>
  <c r="G23" i="24" s="1"/>
  <c r="H23" i="24" s="1"/>
  <c r="I23" i="24" s="1"/>
  <c r="E24" i="24"/>
  <c r="E25" i="24"/>
  <c r="F25" i="24" s="1"/>
  <c r="G25" i="24" s="1"/>
  <c r="H25" i="24" s="1"/>
  <c r="I25" i="24" s="1"/>
  <c r="E26" i="24"/>
  <c r="F26" i="24" s="1"/>
  <c r="G26" i="24" s="1"/>
  <c r="H26" i="24" s="1"/>
  <c r="I26" i="24" s="1"/>
  <c r="E27" i="24"/>
  <c r="E28" i="24"/>
  <c r="F28" i="24" s="1"/>
  <c r="G28" i="24" s="1"/>
  <c r="H28" i="24" s="1"/>
  <c r="I28" i="24" s="1"/>
  <c r="E29" i="24"/>
  <c r="F29" i="24" s="1"/>
  <c r="G29" i="24" s="1"/>
  <c r="H29" i="24" s="1"/>
  <c r="I29" i="24" s="1"/>
  <c r="E30" i="24"/>
  <c r="E31" i="24"/>
  <c r="F31" i="24" s="1"/>
  <c r="G31" i="24" s="1"/>
  <c r="H31" i="24" s="1"/>
  <c r="I31" i="24" s="1"/>
  <c r="E32" i="24"/>
  <c r="F32" i="24" s="1"/>
  <c r="G32" i="24" s="1"/>
  <c r="H32" i="24" s="1"/>
  <c r="I32" i="24" s="1"/>
  <c r="E33" i="24"/>
  <c r="E34" i="24"/>
  <c r="F34" i="24" s="1"/>
  <c r="G34" i="24" s="1"/>
  <c r="H34" i="24" s="1"/>
  <c r="I34" i="24" s="1"/>
  <c r="E35" i="24"/>
  <c r="F35" i="24" s="1"/>
  <c r="G35" i="24" s="1"/>
  <c r="H35" i="24" s="1"/>
  <c r="I35" i="24" s="1"/>
  <c r="E36" i="24"/>
  <c r="E37" i="24"/>
  <c r="F37" i="24" s="1"/>
  <c r="G37" i="24" s="1"/>
  <c r="H37" i="24" s="1"/>
  <c r="I37" i="24" s="1"/>
  <c r="E38" i="24"/>
  <c r="F38" i="24" s="1"/>
  <c r="G38" i="24" s="1"/>
  <c r="H38" i="24" s="1"/>
  <c r="I38" i="24" s="1"/>
  <c r="E39" i="24"/>
  <c r="E40" i="24"/>
  <c r="F40" i="24" s="1"/>
  <c r="G40" i="24" s="1"/>
  <c r="H40" i="24" s="1"/>
  <c r="I40" i="24" s="1"/>
  <c r="F9" i="26"/>
  <c r="G9" i="26" s="1"/>
  <c r="H9" i="26" s="1"/>
  <c r="I9" i="26" s="1"/>
  <c r="J9" i="26" s="1"/>
  <c r="F10" i="26"/>
  <c r="G10" i="26" s="1"/>
  <c r="H10" i="26" s="1"/>
  <c r="I10" i="26" s="1"/>
  <c r="J10" i="26" s="1"/>
  <c r="F11" i="26"/>
  <c r="G11" i="26" s="1"/>
  <c r="H11" i="26" s="1"/>
  <c r="I11" i="26" s="1"/>
  <c r="J11" i="26" s="1"/>
  <c r="I9" i="25"/>
  <c r="I10" i="25"/>
  <c r="I11" i="25"/>
  <c r="I12" i="25"/>
  <c r="I13" i="25"/>
  <c r="I14" i="25"/>
  <c r="I15" i="25"/>
  <c r="I16" i="25"/>
  <c r="I17" i="25"/>
  <c r="H9" i="25"/>
  <c r="H10" i="25"/>
  <c r="H11" i="25"/>
  <c r="H12" i="25"/>
  <c r="H13" i="25"/>
  <c r="H14" i="25"/>
  <c r="H15" i="25"/>
  <c r="H16" i="25"/>
  <c r="H17" i="25"/>
  <c r="G9" i="25"/>
  <c r="G10" i="25"/>
  <c r="G11" i="25"/>
  <c r="G12" i="25"/>
  <c r="G13" i="25"/>
  <c r="G14" i="25"/>
  <c r="G15" i="25"/>
  <c r="G16" i="25"/>
  <c r="G17" i="25"/>
  <c r="F9" i="25"/>
  <c r="F10" i="25"/>
  <c r="F11" i="25"/>
  <c r="F12" i="25"/>
  <c r="F13" i="25"/>
  <c r="F14" i="25"/>
  <c r="F15" i="25"/>
  <c r="F16" i="25"/>
  <c r="F17" i="25"/>
  <c r="E9" i="25"/>
  <c r="E10" i="25"/>
  <c r="E11" i="25"/>
  <c r="E12" i="25"/>
  <c r="E13" i="25"/>
  <c r="E14" i="25"/>
  <c r="E15" i="25"/>
  <c r="E16" i="25"/>
  <c r="E17" i="25"/>
  <c r="I32" i="2"/>
  <c r="K32" i="2" s="1"/>
  <c r="M32" i="2" s="1"/>
  <c r="O32" i="2" s="1"/>
  <c r="Q32" i="2" s="1"/>
  <c r="I31" i="2"/>
  <c r="K31" i="2" s="1"/>
  <c r="M31" i="2" s="1"/>
  <c r="O31" i="2" s="1"/>
  <c r="Q31" i="2" s="1"/>
  <c r="I30" i="2"/>
  <c r="K30" i="2" s="1"/>
  <c r="M30" i="2" s="1"/>
  <c r="O30" i="2" s="1"/>
  <c r="Q30" i="2" s="1"/>
  <c r="I25" i="2"/>
  <c r="K25" i="2" s="1"/>
  <c r="M25" i="2" s="1"/>
  <c r="O25" i="2" s="1"/>
  <c r="Q25" i="2" s="1"/>
  <c r="I23" i="2"/>
  <c r="K23" i="2" s="1"/>
  <c r="M23" i="2" s="1"/>
  <c r="O23" i="2" s="1"/>
  <c r="Q23" i="2" s="1"/>
  <c r="I22" i="2"/>
  <c r="K22" i="2" s="1"/>
  <c r="M22" i="2" s="1"/>
  <c r="O22" i="2" s="1"/>
  <c r="Q22" i="2" s="1"/>
  <c r="I21" i="2"/>
  <c r="K21" i="2" s="1"/>
  <c r="E9" i="2"/>
  <c r="E10" i="2" s="1"/>
  <c r="I10" i="2" s="1"/>
  <c r="K10" i="2" s="1"/>
  <c r="M10" i="2" s="1"/>
  <c r="O10" i="2" s="1"/>
  <c r="Q10" i="2" s="1"/>
  <c r="D9" i="2"/>
  <c r="E8" i="2"/>
  <c r="E7" i="2"/>
  <c r="E6" i="2"/>
  <c r="E5" i="2"/>
  <c r="M21" i="2" l="1"/>
  <c r="E13" i="2"/>
  <c r="E15" i="2"/>
  <c r="I15" i="2" s="1"/>
  <c r="K15" i="2" s="1"/>
  <c r="M15" i="2" s="1"/>
  <c r="O15" i="2" s="1"/>
  <c r="Q15" i="2" s="1"/>
  <c r="E24" i="2"/>
  <c r="E14" i="2"/>
  <c r="I14" i="2" s="1"/>
  <c r="K14" i="2" s="1"/>
  <c r="M14" i="2" s="1"/>
  <c r="O14" i="2" s="1"/>
  <c r="Q14" i="2" s="1"/>
  <c r="E16" i="2"/>
  <c r="I16" i="2" s="1"/>
  <c r="K16" i="2" s="1"/>
  <c r="M16" i="2" s="1"/>
  <c r="O16" i="2" s="1"/>
  <c r="Q16" i="2" s="1"/>
  <c r="E17" i="2"/>
  <c r="I17" i="2" s="1"/>
  <c r="K17" i="2" s="1"/>
  <c r="M17" i="2" s="1"/>
  <c r="O17" i="2" s="1"/>
  <c r="Q17" i="2" s="1"/>
  <c r="I24" i="2" l="1"/>
  <c r="E26" i="2"/>
  <c r="I13" i="2"/>
  <c r="E18" i="2"/>
  <c r="O21" i="2"/>
  <c r="K24" i="2" l="1"/>
  <c r="I26" i="2"/>
  <c r="Q21" i="2"/>
  <c r="E29" i="2"/>
  <c r="K13" i="2"/>
  <c r="I18" i="2"/>
  <c r="K18" i="2" l="1"/>
  <c r="M13" i="2"/>
  <c r="I29" i="2"/>
  <c r="E33" i="2"/>
  <c r="M24" i="2"/>
  <c r="K26" i="2"/>
  <c r="O13" i="2" l="1"/>
  <c r="M18" i="2"/>
  <c r="O24" i="2"/>
  <c r="M26" i="2"/>
  <c r="K29" i="2"/>
  <c r="I33" i="2"/>
  <c r="I35" i="2" s="1"/>
  <c r="E35" i="2"/>
  <c r="D41" i="2"/>
  <c r="D40" i="2"/>
  <c r="D39" i="2"/>
  <c r="E41" i="2" l="1"/>
  <c r="D21" i="2"/>
  <c r="D30" i="2"/>
  <c r="D38" i="2"/>
  <c r="D31" i="2"/>
  <c r="D25" i="2"/>
  <c r="D32" i="2"/>
  <c r="D23" i="2"/>
  <c r="D22" i="2"/>
  <c r="Q13" i="2"/>
  <c r="Q18" i="2" s="1"/>
  <c r="O18" i="2"/>
  <c r="I37" i="2"/>
  <c r="I41" i="2" s="1"/>
  <c r="K33" i="2"/>
  <c r="K35" i="2" s="1"/>
  <c r="K37" i="2" s="1"/>
  <c r="M29" i="2"/>
  <c r="I39" i="2"/>
  <c r="K39" i="2" s="1"/>
  <c r="E39" i="2"/>
  <c r="E40" i="2"/>
  <c r="I40" i="2"/>
  <c r="Q24" i="2"/>
  <c r="Q26" i="2" s="1"/>
  <c r="O26" i="2"/>
  <c r="K41" i="2" l="1"/>
  <c r="O29" i="2"/>
  <c r="M33" i="2"/>
  <c r="M35" i="2" s="1"/>
  <c r="M37" i="2" s="1"/>
  <c r="M41" i="2" s="1"/>
  <c r="K40" i="2"/>
  <c r="I38" i="2"/>
  <c r="K38" i="2" s="1"/>
  <c r="E38" i="2"/>
  <c r="Q29" i="2" l="1"/>
  <c r="Q33" i="2" s="1"/>
  <c r="Q35" i="2" s="1"/>
  <c r="O33" i="2"/>
  <c r="O35" i="2" s="1"/>
  <c r="O37" i="2" s="1"/>
  <c r="O41" i="2" s="1"/>
  <c r="M39" i="2"/>
  <c r="O39" i="2" s="1"/>
  <c r="M38" i="2"/>
  <c r="O38" i="2" s="1"/>
  <c r="M40" i="2"/>
  <c r="O40" i="2" l="1"/>
  <c r="Q37" i="2"/>
  <c r="Q41" i="2" s="1"/>
  <c r="Q38" i="2" l="1"/>
  <c r="Q39" i="2"/>
  <c r="Q40" i="2"/>
  <c r="F23" i="25" l="1"/>
  <c r="H23" i="25" s="1"/>
  <c r="D23" i="25"/>
  <c r="B23" i="25"/>
  <c r="Z89" i="13"/>
  <c r="AA89" i="13" s="1"/>
  <c r="T89" i="13"/>
  <c r="U89" i="13" s="1"/>
  <c r="P89" i="13"/>
  <c r="K89" i="13"/>
  <c r="E89" i="13"/>
  <c r="D89" i="13"/>
  <c r="C89" i="13"/>
  <c r="B89" i="13"/>
  <c r="V89" i="13" l="1"/>
  <c r="W89" i="13" s="1"/>
  <c r="X89" i="13" s="1"/>
  <c r="AB89" i="13"/>
  <c r="AE89" i="13" l="1"/>
  <c r="AC89" i="13"/>
  <c r="AD89" i="13" s="1"/>
  <c r="AF89" i="13"/>
  <c r="Z172" i="13" l="1"/>
  <c r="AB172" i="13" s="1"/>
  <c r="AC172" i="13" s="1"/>
  <c r="AD172" i="13" s="1"/>
  <c r="T172" i="13"/>
  <c r="V172" i="13" s="1"/>
  <c r="P172" i="13"/>
  <c r="K172" i="13"/>
  <c r="E172" i="13"/>
  <c r="D172" i="13"/>
  <c r="C172" i="13"/>
  <c r="B172" i="13"/>
  <c r="Z171" i="13"/>
  <c r="AB171" i="13" s="1"/>
  <c r="T171" i="13"/>
  <c r="V171" i="13" s="1"/>
  <c r="P171" i="13"/>
  <c r="K171" i="13"/>
  <c r="E171" i="13"/>
  <c r="D171" i="13"/>
  <c r="C171" i="13"/>
  <c r="B171" i="13"/>
  <c r="Z170" i="13"/>
  <c r="AB170" i="13" s="1"/>
  <c r="T170" i="13"/>
  <c r="V170" i="13" s="1"/>
  <c r="P170" i="13"/>
  <c r="K170" i="13"/>
  <c r="E170" i="13"/>
  <c r="D170" i="13"/>
  <c r="C170" i="13"/>
  <c r="B170" i="13"/>
  <c r="Z169" i="13"/>
  <c r="AA169" i="13" s="1"/>
  <c r="T169" i="13"/>
  <c r="V169" i="13" s="1"/>
  <c r="P169" i="13"/>
  <c r="K169" i="13"/>
  <c r="E169" i="13"/>
  <c r="D169" i="13"/>
  <c r="C169" i="13"/>
  <c r="B169" i="13"/>
  <c r="Z168" i="13"/>
  <c r="AB168" i="13" s="1"/>
  <c r="T168" i="13"/>
  <c r="U168" i="13" s="1"/>
  <c r="W168" i="13" s="1"/>
  <c r="X168" i="13" s="1"/>
  <c r="P168" i="13"/>
  <c r="K168" i="13"/>
  <c r="E168" i="13"/>
  <c r="D168" i="13"/>
  <c r="C168" i="13"/>
  <c r="B168" i="13"/>
  <c r="Z167" i="13"/>
  <c r="AB167" i="13" s="1"/>
  <c r="AC167" i="13" s="1"/>
  <c r="AD167" i="13" s="1"/>
  <c r="T167" i="13"/>
  <c r="V167" i="13" s="1"/>
  <c r="P167" i="13"/>
  <c r="K167" i="13"/>
  <c r="E167" i="13"/>
  <c r="D167" i="13"/>
  <c r="C167" i="13"/>
  <c r="B167" i="13"/>
  <c r="Z166" i="13"/>
  <c r="AB166" i="13" s="1"/>
  <c r="AC166" i="13" s="1"/>
  <c r="AD166" i="13" s="1"/>
  <c r="T166" i="13"/>
  <c r="U166" i="13" s="1"/>
  <c r="W166" i="13" s="1"/>
  <c r="X166" i="13" s="1"/>
  <c r="P166" i="13"/>
  <c r="K166" i="13"/>
  <c r="E166" i="13"/>
  <c r="D166" i="13"/>
  <c r="C166" i="13"/>
  <c r="B166" i="13"/>
  <c r="Z165" i="13"/>
  <c r="AB165" i="13" s="1"/>
  <c r="T165" i="13"/>
  <c r="V165" i="13" s="1"/>
  <c r="P165" i="13"/>
  <c r="K165" i="13"/>
  <c r="E165" i="13"/>
  <c r="D165" i="13"/>
  <c r="C165" i="13"/>
  <c r="B165" i="13"/>
  <c r="Z164" i="13"/>
  <c r="AA164" i="13" s="1"/>
  <c r="T164" i="13"/>
  <c r="V164" i="13" s="1"/>
  <c r="P164" i="13"/>
  <c r="K164" i="13"/>
  <c r="E164" i="13"/>
  <c r="D164" i="13"/>
  <c r="C164" i="13"/>
  <c r="B164" i="13"/>
  <c r="Z163" i="13"/>
  <c r="AB163" i="13" s="1"/>
  <c r="AC163" i="13" s="1"/>
  <c r="AD163" i="13" s="1"/>
  <c r="T163" i="13"/>
  <c r="U163" i="13" s="1"/>
  <c r="W163" i="13" s="1"/>
  <c r="X163" i="13" s="1"/>
  <c r="P163" i="13"/>
  <c r="K163" i="13"/>
  <c r="E163" i="13"/>
  <c r="D163" i="13"/>
  <c r="C163" i="13"/>
  <c r="B163" i="13"/>
  <c r="Z162" i="13"/>
  <c r="AB162" i="13" s="1"/>
  <c r="T162" i="13"/>
  <c r="U162" i="13" s="1"/>
  <c r="W162" i="13" s="1"/>
  <c r="X162" i="13" s="1"/>
  <c r="P162" i="13"/>
  <c r="K162" i="13"/>
  <c r="E162" i="13"/>
  <c r="D162" i="13"/>
  <c r="C162" i="13"/>
  <c r="B162" i="13"/>
  <c r="Z161" i="13"/>
  <c r="AB161" i="13" s="1"/>
  <c r="AC161" i="13" s="1"/>
  <c r="AD161" i="13" s="1"/>
  <c r="T161" i="13"/>
  <c r="V161" i="13" s="1"/>
  <c r="P161" i="13"/>
  <c r="K161" i="13"/>
  <c r="E161" i="13"/>
  <c r="D161" i="13"/>
  <c r="C161" i="13"/>
  <c r="B161" i="13"/>
  <c r="Z160" i="13"/>
  <c r="AA160" i="13" s="1"/>
  <c r="T160" i="13"/>
  <c r="V160" i="13" s="1"/>
  <c r="P160" i="13"/>
  <c r="K160" i="13"/>
  <c r="E160" i="13"/>
  <c r="D160" i="13"/>
  <c r="C160" i="13"/>
  <c r="B160" i="13"/>
  <c r="Z159" i="13"/>
  <c r="AB159" i="13" s="1"/>
  <c r="T159" i="13"/>
  <c r="V159" i="13" s="1"/>
  <c r="P159" i="13"/>
  <c r="K159" i="13"/>
  <c r="E159" i="13"/>
  <c r="D159" i="13"/>
  <c r="C159" i="13"/>
  <c r="B159" i="13"/>
  <c r="Z158" i="13"/>
  <c r="AB158" i="13" s="1"/>
  <c r="T158" i="13"/>
  <c r="V158" i="13" s="1"/>
  <c r="P158" i="13"/>
  <c r="K158" i="13"/>
  <c r="E158" i="13"/>
  <c r="D158" i="13"/>
  <c r="C158" i="13"/>
  <c r="B158" i="13"/>
  <c r="Z157" i="13"/>
  <c r="AB157" i="13" s="1"/>
  <c r="AC157" i="13" s="1"/>
  <c r="AD157" i="13" s="1"/>
  <c r="T157" i="13"/>
  <c r="U157" i="13" s="1"/>
  <c r="P157" i="13"/>
  <c r="K157" i="13"/>
  <c r="E157" i="13"/>
  <c r="D157" i="13"/>
  <c r="C157" i="13"/>
  <c r="B157" i="13"/>
  <c r="Z156" i="13"/>
  <c r="AB156" i="13" s="1"/>
  <c r="T156" i="13"/>
  <c r="V156" i="13" s="1"/>
  <c r="P156" i="13"/>
  <c r="K156" i="13"/>
  <c r="E156" i="13"/>
  <c r="D156" i="13"/>
  <c r="C156" i="13"/>
  <c r="B156" i="13"/>
  <c r="Z155" i="13"/>
  <c r="AB155" i="13" s="1"/>
  <c r="AC155" i="13" s="1"/>
  <c r="AD155" i="13" s="1"/>
  <c r="T155" i="13"/>
  <c r="U155" i="13" s="1"/>
  <c r="P155" i="13"/>
  <c r="K155" i="13"/>
  <c r="E155" i="13"/>
  <c r="D155" i="13"/>
  <c r="C155" i="13"/>
  <c r="B155" i="13"/>
  <c r="Z154" i="13"/>
  <c r="AB154" i="13" s="1"/>
  <c r="AC154" i="13" s="1"/>
  <c r="AD154" i="13" s="1"/>
  <c r="T154" i="13"/>
  <c r="V154" i="13" s="1"/>
  <c r="P154" i="13"/>
  <c r="K154" i="13"/>
  <c r="E154" i="13"/>
  <c r="D154" i="13"/>
  <c r="C154" i="13"/>
  <c r="B154" i="13"/>
  <c r="Z153" i="13"/>
  <c r="AB153" i="13" s="1"/>
  <c r="T153" i="13"/>
  <c r="V153" i="13" s="1"/>
  <c r="P153" i="13"/>
  <c r="K153" i="13"/>
  <c r="E153" i="13"/>
  <c r="D153" i="13"/>
  <c r="C153" i="13"/>
  <c r="B153" i="13"/>
  <c r="Z151" i="13"/>
  <c r="AA151" i="13" s="1"/>
  <c r="T151" i="13"/>
  <c r="V151" i="13" s="1"/>
  <c r="P151" i="13"/>
  <c r="K151" i="13"/>
  <c r="E151" i="13"/>
  <c r="D151" i="13"/>
  <c r="C151" i="13"/>
  <c r="B151" i="13"/>
  <c r="Z150" i="13"/>
  <c r="AB150" i="13" s="1"/>
  <c r="T150" i="13"/>
  <c r="U150" i="13" s="1"/>
  <c r="P150" i="13"/>
  <c r="K150" i="13"/>
  <c r="E150" i="13"/>
  <c r="D150" i="13"/>
  <c r="C150" i="13"/>
  <c r="B150" i="13"/>
  <c r="Z149" i="13"/>
  <c r="AB149" i="13" s="1"/>
  <c r="T149" i="13"/>
  <c r="V149" i="13" s="1"/>
  <c r="P149" i="13"/>
  <c r="K149" i="13"/>
  <c r="E149" i="13"/>
  <c r="D149" i="13"/>
  <c r="C149" i="13"/>
  <c r="B149" i="13"/>
  <c r="Z148" i="13"/>
  <c r="AB148" i="13" s="1"/>
  <c r="AC148" i="13" s="1"/>
  <c r="AD148" i="13" s="1"/>
  <c r="T148" i="13"/>
  <c r="V148" i="13" s="1"/>
  <c r="P148" i="13"/>
  <c r="K148" i="13"/>
  <c r="E148" i="13"/>
  <c r="D148" i="13"/>
  <c r="C148" i="13"/>
  <c r="B148" i="13"/>
  <c r="Z147" i="13"/>
  <c r="AA147" i="13" s="1"/>
  <c r="T147" i="13"/>
  <c r="V147" i="13" s="1"/>
  <c r="P147" i="13"/>
  <c r="K147" i="13"/>
  <c r="E147" i="13"/>
  <c r="D147" i="13"/>
  <c r="C147" i="13"/>
  <c r="B147" i="13"/>
  <c r="Z146" i="13"/>
  <c r="AB146" i="13" s="1"/>
  <c r="AC146" i="13" s="1"/>
  <c r="AD146" i="13" s="1"/>
  <c r="T146" i="13"/>
  <c r="U146" i="13" s="1"/>
  <c r="P146" i="13"/>
  <c r="K146" i="13"/>
  <c r="E146" i="13"/>
  <c r="D146" i="13"/>
  <c r="C146" i="13"/>
  <c r="B146" i="13"/>
  <c r="Z145" i="13"/>
  <c r="AA145" i="13" s="1"/>
  <c r="T145" i="13"/>
  <c r="V145" i="13" s="1"/>
  <c r="P145" i="13"/>
  <c r="K145" i="13"/>
  <c r="E145" i="13"/>
  <c r="D145" i="13"/>
  <c r="C145" i="13"/>
  <c r="B145" i="13"/>
  <c r="Z144" i="13"/>
  <c r="AB144" i="13" s="1"/>
  <c r="T144" i="13"/>
  <c r="U144" i="13" s="1"/>
  <c r="P144" i="13"/>
  <c r="K144" i="13"/>
  <c r="E144" i="13"/>
  <c r="D144" i="13"/>
  <c r="C144" i="13"/>
  <c r="B144" i="13"/>
  <c r="Z143" i="13"/>
  <c r="AB143" i="13" s="1"/>
  <c r="T143" i="13"/>
  <c r="V143" i="13" s="1"/>
  <c r="P143" i="13"/>
  <c r="K143" i="13"/>
  <c r="E143" i="13"/>
  <c r="D143" i="13"/>
  <c r="C143" i="13"/>
  <c r="B143" i="13"/>
  <c r="Z142" i="13"/>
  <c r="AB142" i="13" s="1"/>
  <c r="AC142" i="13" s="1"/>
  <c r="AD142" i="13" s="1"/>
  <c r="T142" i="13"/>
  <c r="V142" i="13" s="1"/>
  <c r="P142" i="13"/>
  <c r="K142" i="13"/>
  <c r="E142" i="13"/>
  <c r="D142" i="13"/>
  <c r="C142" i="13"/>
  <c r="B142" i="13"/>
  <c r="Z141" i="13"/>
  <c r="AA141" i="13" s="1"/>
  <c r="T141" i="13"/>
  <c r="V141" i="13" s="1"/>
  <c r="P141" i="13"/>
  <c r="K141" i="13"/>
  <c r="E141" i="13"/>
  <c r="D141" i="13"/>
  <c r="C141" i="13"/>
  <c r="B141" i="13"/>
  <c r="Z140" i="13"/>
  <c r="AB140" i="13" s="1"/>
  <c r="AC140" i="13" s="1"/>
  <c r="AD140" i="13" s="1"/>
  <c r="T140" i="13"/>
  <c r="U140" i="13" s="1"/>
  <c r="P140" i="13"/>
  <c r="K140" i="13"/>
  <c r="E140" i="13"/>
  <c r="D140" i="13"/>
  <c r="C140" i="13"/>
  <c r="B140" i="13"/>
  <c r="Z139" i="13"/>
  <c r="AA139" i="13" s="1"/>
  <c r="T139" i="13"/>
  <c r="V139" i="13" s="1"/>
  <c r="P139" i="13"/>
  <c r="K139" i="13"/>
  <c r="E139" i="13"/>
  <c r="D139" i="13"/>
  <c r="C139" i="13"/>
  <c r="B139" i="13"/>
  <c r="Z138" i="13"/>
  <c r="AB138" i="13" s="1"/>
  <c r="T138" i="13"/>
  <c r="U138" i="13" s="1"/>
  <c r="P138" i="13"/>
  <c r="K138" i="13"/>
  <c r="E138" i="13"/>
  <c r="D138" i="13"/>
  <c r="C138" i="13"/>
  <c r="B138" i="13"/>
  <c r="Z137" i="13"/>
  <c r="AA137" i="13" s="1"/>
  <c r="T137" i="13"/>
  <c r="V137" i="13" s="1"/>
  <c r="P137" i="13"/>
  <c r="K137" i="13"/>
  <c r="E137" i="13"/>
  <c r="D137" i="13"/>
  <c r="C137" i="13"/>
  <c r="B137" i="13"/>
  <c r="Z136" i="13"/>
  <c r="AB136" i="13" s="1"/>
  <c r="AC136" i="13" s="1"/>
  <c r="AD136" i="13" s="1"/>
  <c r="T136" i="13"/>
  <c r="U136" i="13" s="1"/>
  <c r="P136" i="13"/>
  <c r="K136" i="13"/>
  <c r="E136" i="13"/>
  <c r="D136" i="13"/>
  <c r="C136" i="13"/>
  <c r="B136" i="13"/>
  <c r="Z135" i="13"/>
  <c r="AA135" i="13" s="1"/>
  <c r="T135" i="13"/>
  <c r="U135" i="13" s="1"/>
  <c r="W135" i="13" s="1"/>
  <c r="X135" i="13" s="1"/>
  <c r="P135" i="13"/>
  <c r="K135" i="13"/>
  <c r="E135" i="13"/>
  <c r="D135" i="13"/>
  <c r="C135" i="13"/>
  <c r="B135" i="13"/>
  <c r="Z134" i="13"/>
  <c r="AA134" i="13" s="1"/>
  <c r="T134" i="13"/>
  <c r="U134" i="13" s="1"/>
  <c r="P134" i="13"/>
  <c r="K134" i="13"/>
  <c r="E134" i="13"/>
  <c r="D134" i="13"/>
  <c r="C134" i="13"/>
  <c r="B134" i="13"/>
  <c r="Z133" i="13"/>
  <c r="AA133" i="13" s="1"/>
  <c r="T133" i="13"/>
  <c r="V133" i="13" s="1"/>
  <c r="P133" i="13"/>
  <c r="K133" i="13"/>
  <c r="E133" i="13"/>
  <c r="D133" i="13"/>
  <c r="C133" i="13"/>
  <c r="B133" i="13"/>
  <c r="Z132" i="13"/>
  <c r="AB132" i="13" s="1"/>
  <c r="T132" i="13"/>
  <c r="U132" i="13" s="1"/>
  <c r="P132" i="13"/>
  <c r="K132" i="13"/>
  <c r="E132" i="13"/>
  <c r="D132" i="13"/>
  <c r="C132" i="13"/>
  <c r="B132" i="13"/>
  <c r="Z131" i="13"/>
  <c r="AB131" i="13" s="1"/>
  <c r="T131" i="13"/>
  <c r="V131" i="13" s="1"/>
  <c r="P131" i="13"/>
  <c r="K131" i="13"/>
  <c r="E131" i="13"/>
  <c r="D131" i="13"/>
  <c r="C131" i="13"/>
  <c r="B131" i="13"/>
  <c r="Z130" i="13"/>
  <c r="AB130" i="13" s="1"/>
  <c r="AC130" i="13" s="1"/>
  <c r="AD130" i="13" s="1"/>
  <c r="T130" i="13"/>
  <c r="V130" i="13" s="1"/>
  <c r="P130" i="13"/>
  <c r="K130" i="13"/>
  <c r="E130" i="13"/>
  <c r="D130" i="13"/>
  <c r="C130" i="13"/>
  <c r="B130" i="13"/>
  <c r="Z129" i="13"/>
  <c r="AB129" i="13" s="1"/>
  <c r="T129" i="13"/>
  <c r="V129" i="13" s="1"/>
  <c r="P129" i="13"/>
  <c r="K129" i="13"/>
  <c r="E129" i="13"/>
  <c r="D129" i="13"/>
  <c r="C129" i="13"/>
  <c r="B129" i="13"/>
  <c r="Z128" i="13"/>
  <c r="AA128" i="13" s="1"/>
  <c r="T128" i="13"/>
  <c r="V128" i="13" s="1"/>
  <c r="P128" i="13"/>
  <c r="K128" i="13"/>
  <c r="E128" i="13"/>
  <c r="D128" i="13"/>
  <c r="C128" i="13"/>
  <c r="B128" i="13"/>
  <c r="Z127" i="13"/>
  <c r="AA127" i="13" s="1"/>
  <c r="T127" i="13"/>
  <c r="U127" i="13" s="1"/>
  <c r="P127" i="13"/>
  <c r="K127" i="13"/>
  <c r="E127" i="13"/>
  <c r="D127" i="13"/>
  <c r="C127" i="13"/>
  <c r="B127" i="13"/>
  <c r="K126" i="13"/>
  <c r="V162" i="13" l="1"/>
  <c r="AE162" i="13" s="1"/>
  <c r="AB135" i="13"/>
  <c r="AC135" i="13" s="1"/>
  <c r="AD135" i="13" s="1"/>
  <c r="AB134" i="13"/>
  <c r="AC134" i="13" s="1"/>
  <c r="AD134" i="13" s="1"/>
  <c r="AB145" i="13"/>
  <c r="AC145" i="13" s="1"/>
  <c r="AD145" i="13" s="1"/>
  <c r="AB160" i="13"/>
  <c r="AC160" i="13" s="1"/>
  <c r="AD160" i="13" s="1"/>
  <c r="V144" i="13"/>
  <c r="W144" i="13" s="1"/>
  <c r="X144" i="13" s="1"/>
  <c r="V132" i="13"/>
  <c r="W132" i="13" s="1"/>
  <c r="X132" i="13" s="1"/>
  <c r="U148" i="13"/>
  <c r="W148" i="13" s="1"/>
  <c r="X148" i="13" s="1"/>
  <c r="AB141" i="13"/>
  <c r="AE141" i="13" s="1"/>
  <c r="V166" i="13"/>
  <c r="AE166" i="13" s="1"/>
  <c r="U153" i="13"/>
  <c r="W153" i="13" s="1"/>
  <c r="X153" i="13" s="1"/>
  <c r="V127" i="13"/>
  <c r="W127" i="13" s="1"/>
  <c r="X127" i="13" s="1"/>
  <c r="AB147" i="13"/>
  <c r="AC147" i="13" s="1"/>
  <c r="AD147" i="13" s="1"/>
  <c r="AA166" i="13"/>
  <c r="V140" i="13"/>
  <c r="AE140" i="13" s="1"/>
  <c r="AA170" i="13"/>
  <c r="AA136" i="13"/>
  <c r="AA140" i="13"/>
  <c r="U145" i="13"/>
  <c r="W145" i="13" s="1"/>
  <c r="X145" i="13" s="1"/>
  <c r="AA146" i="13"/>
  <c r="U151" i="13"/>
  <c r="W151" i="13" s="1"/>
  <c r="X151" i="13" s="1"/>
  <c r="AB128" i="13"/>
  <c r="AC128" i="13" s="1"/>
  <c r="AD128" i="13" s="1"/>
  <c r="V135" i="13"/>
  <c r="U139" i="13"/>
  <c r="W139" i="13" s="1"/>
  <c r="X139" i="13" s="1"/>
  <c r="AA157" i="13"/>
  <c r="U160" i="13"/>
  <c r="W160" i="13" s="1"/>
  <c r="X160" i="13" s="1"/>
  <c r="AB169" i="13"/>
  <c r="AC169" i="13" s="1"/>
  <c r="AD169" i="13" s="1"/>
  <c r="AA161" i="13"/>
  <c r="AB139" i="13"/>
  <c r="AE139" i="13" s="1"/>
  <c r="AA148" i="13"/>
  <c r="AA154" i="13"/>
  <c r="U159" i="13"/>
  <c r="W159" i="13" s="1"/>
  <c r="X159" i="13" s="1"/>
  <c r="U171" i="13"/>
  <c r="W171" i="13" s="1"/>
  <c r="X171" i="13" s="1"/>
  <c r="AA172" i="13"/>
  <c r="U129" i="13"/>
  <c r="W129" i="13" s="1"/>
  <c r="X129" i="13" s="1"/>
  <c r="V146" i="13"/>
  <c r="W146" i="13" s="1"/>
  <c r="X146" i="13" s="1"/>
  <c r="AB151" i="13"/>
  <c r="AE151" i="13" s="1"/>
  <c r="U154" i="13"/>
  <c r="W154" i="13" s="1"/>
  <c r="X154" i="13" s="1"/>
  <c r="U165" i="13"/>
  <c r="W165" i="13" s="1"/>
  <c r="X165" i="13" s="1"/>
  <c r="V168" i="13"/>
  <c r="AE168" i="13" s="1"/>
  <c r="AB127" i="13"/>
  <c r="AA130" i="13"/>
  <c r="AB133" i="13"/>
  <c r="AE133" i="13" s="1"/>
  <c r="V138" i="13"/>
  <c r="AE138" i="13" s="1"/>
  <c r="U156" i="13"/>
  <c r="W156" i="13" s="1"/>
  <c r="X156" i="13" s="1"/>
  <c r="U133" i="13"/>
  <c r="W133" i="13" s="1"/>
  <c r="X133" i="13" s="1"/>
  <c r="V134" i="13"/>
  <c r="W134" i="13" s="1"/>
  <c r="X134" i="13" s="1"/>
  <c r="U141" i="13"/>
  <c r="W141" i="13" s="1"/>
  <c r="X141" i="13" s="1"/>
  <c r="AA142" i="13"/>
  <c r="U147" i="13"/>
  <c r="W147" i="13" s="1"/>
  <c r="X147" i="13" s="1"/>
  <c r="V150" i="13"/>
  <c r="AE150" i="13" s="1"/>
  <c r="AA155" i="13"/>
  <c r="AA163" i="13"/>
  <c r="AA167" i="13"/>
  <c r="U169" i="13"/>
  <c r="W169" i="13" s="1"/>
  <c r="X169" i="13" s="1"/>
  <c r="U172" i="13"/>
  <c r="W172" i="13" s="1"/>
  <c r="X172" i="13" s="1"/>
  <c r="AE130" i="13"/>
  <c r="AE156" i="13"/>
  <c r="AC156" i="13"/>
  <c r="AD156" i="13" s="1"/>
  <c r="AE159" i="13"/>
  <c r="AC159" i="13"/>
  <c r="AD159" i="13" s="1"/>
  <c r="AF163" i="13"/>
  <c r="AC162" i="13"/>
  <c r="AD162" i="13" s="1"/>
  <c r="AE165" i="13"/>
  <c r="AC165" i="13"/>
  <c r="AD165" i="13" s="1"/>
  <c r="AE161" i="13"/>
  <c r="AC168" i="13"/>
  <c r="AD168" i="13" s="1"/>
  <c r="AE170" i="13"/>
  <c r="AC170" i="13"/>
  <c r="AD170" i="13" s="1"/>
  <c r="AE171" i="13"/>
  <c r="AC171" i="13"/>
  <c r="AD171" i="13" s="1"/>
  <c r="AE158" i="13"/>
  <c r="AC158" i="13"/>
  <c r="AD158" i="13" s="1"/>
  <c r="AC153" i="13"/>
  <c r="AD153" i="13" s="1"/>
  <c r="AE153" i="13"/>
  <c r="AF166" i="13"/>
  <c r="V155" i="13"/>
  <c r="AE155" i="13" s="1"/>
  <c r="AE154" i="13"/>
  <c r="AA158" i="13"/>
  <c r="AA153" i="13"/>
  <c r="V157" i="13"/>
  <c r="AE157" i="13" s="1"/>
  <c r="U158" i="13"/>
  <c r="W158" i="13" s="1"/>
  <c r="X158" i="13" s="1"/>
  <c r="AA159" i="13"/>
  <c r="V163" i="13"/>
  <c r="AE163" i="13" s="1"/>
  <c r="U164" i="13"/>
  <c r="W164" i="13" s="1"/>
  <c r="X164" i="13" s="1"/>
  <c r="AB164" i="13"/>
  <c r="AA165" i="13"/>
  <c r="AE167" i="13"/>
  <c r="U170" i="13"/>
  <c r="W170" i="13" s="1"/>
  <c r="X170" i="13" s="1"/>
  <c r="AA171" i="13"/>
  <c r="AE172" i="13"/>
  <c r="AA156" i="13"/>
  <c r="U161" i="13"/>
  <c r="W161" i="13" s="1"/>
  <c r="X161" i="13" s="1"/>
  <c r="AA162" i="13"/>
  <c r="U167" i="13"/>
  <c r="W167" i="13" s="1"/>
  <c r="X167" i="13" s="1"/>
  <c r="AA168" i="13"/>
  <c r="AC138" i="13"/>
  <c r="AD138" i="13" s="1"/>
  <c r="AE129" i="13"/>
  <c r="AC129" i="13"/>
  <c r="AD129" i="13" s="1"/>
  <c r="AC131" i="13"/>
  <c r="AD131" i="13" s="1"/>
  <c r="AE131" i="13"/>
  <c r="AC150" i="13"/>
  <c r="AD150" i="13" s="1"/>
  <c r="AC144" i="13"/>
  <c r="AD144" i="13" s="1"/>
  <c r="AC132" i="13"/>
  <c r="AD132" i="13" s="1"/>
  <c r="AC149" i="13"/>
  <c r="AD149" i="13" s="1"/>
  <c r="AE149" i="13"/>
  <c r="AC143" i="13"/>
  <c r="AD143" i="13" s="1"/>
  <c r="AE143" i="13"/>
  <c r="AE142" i="13"/>
  <c r="AE148" i="13"/>
  <c r="U128" i="13"/>
  <c r="W128" i="13" s="1"/>
  <c r="X128" i="13" s="1"/>
  <c r="AA129" i="13"/>
  <c r="U130" i="13"/>
  <c r="W130" i="13" s="1"/>
  <c r="X130" i="13" s="1"/>
  <c r="AA131" i="13"/>
  <c r="U142" i="13"/>
  <c r="W142" i="13" s="1"/>
  <c r="X142" i="13" s="1"/>
  <c r="AA143" i="13"/>
  <c r="AA149" i="13"/>
  <c r="U131" i="13"/>
  <c r="W131" i="13" s="1"/>
  <c r="X131" i="13" s="1"/>
  <c r="AA132" i="13"/>
  <c r="V136" i="13"/>
  <c r="AE136" i="13" s="1"/>
  <c r="U137" i="13"/>
  <c r="W137" i="13" s="1"/>
  <c r="X137" i="13" s="1"/>
  <c r="AB137" i="13"/>
  <c r="AA138" i="13"/>
  <c r="U143" i="13"/>
  <c r="W143" i="13" s="1"/>
  <c r="X143" i="13" s="1"/>
  <c r="AA144" i="13"/>
  <c r="U149" i="13"/>
  <c r="W149" i="13" s="1"/>
  <c r="X149" i="13" s="1"/>
  <c r="AA150" i="13"/>
  <c r="Z20" i="13"/>
  <c r="AB20" i="13" s="1"/>
  <c r="T20" i="13"/>
  <c r="V20" i="13" s="1"/>
  <c r="P20" i="13"/>
  <c r="K20" i="13"/>
  <c r="E20" i="13"/>
  <c r="D20" i="13"/>
  <c r="C20" i="13"/>
  <c r="B20" i="13"/>
  <c r="Z5" i="13"/>
  <c r="AA5" i="13" s="1"/>
  <c r="T5" i="13"/>
  <c r="V5" i="13" s="1"/>
  <c r="P5" i="13"/>
  <c r="K5" i="13"/>
  <c r="E5" i="13"/>
  <c r="D5" i="13"/>
  <c r="C5" i="13"/>
  <c r="B5" i="13"/>
  <c r="W140" i="13" l="1"/>
  <c r="X140" i="13" s="1"/>
  <c r="W136" i="13"/>
  <c r="X136" i="13" s="1"/>
  <c r="W138" i="13"/>
  <c r="X138" i="13" s="1"/>
  <c r="AC141" i="13"/>
  <c r="AD141" i="13" s="1"/>
  <c r="W155" i="13"/>
  <c r="X155" i="13" s="1"/>
  <c r="AE135" i="13"/>
  <c r="AC151" i="13"/>
  <c r="AD151" i="13" s="1"/>
  <c r="AE145" i="13"/>
  <c r="AE146" i="13"/>
  <c r="AF134" i="13"/>
  <c r="AC139" i="13"/>
  <c r="AE160" i="13"/>
  <c r="AE132" i="13"/>
  <c r="AE144" i="13"/>
  <c r="AF148" i="13"/>
  <c r="AE134" i="13"/>
  <c r="W150" i="13"/>
  <c r="X150" i="13" s="1"/>
  <c r="AF169" i="13"/>
  <c r="W157" i="13"/>
  <c r="X157" i="13" s="1"/>
  <c r="AE169" i="13"/>
  <c r="AF146" i="13"/>
  <c r="AE147" i="13"/>
  <c r="AF145" i="13"/>
  <c r="AE127" i="13"/>
  <c r="AF161" i="13"/>
  <c r="AC127" i="13"/>
  <c r="AF160" i="13"/>
  <c r="AE128" i="13"/>
  <c r="AF172" i="13"/>
  <c r="AF154" i="13"/>
  <c r="AC133" i="13"/>
  <c r="AD133" i="13" s="1"/>
  <c r="AF147" i="13"/>
  <c r="AF158" i="13"/>
  <c r="AF165" i="13"/>
  <c r="AE164" i="13"/>
  <c r="AC164" i="13"/>
  <c r="AD164" i="13" s="1"/>
  <c r="AF170" i="13"/>
  <c r="AF153" i="13"/>
  <c r="AF168" i="13"/>
  <c r="AF162" i="13"/>
  <c r="AF159" i="13"/>
  <c r="AF171" i="13"/>
  <c r="AF156" i="13"/>
  <c r="AF167" i="13"/>
  <c r="AF135" i="13"/>
  <c r="AF149" i="13"/>
  <c r="AF132" i="13"/>
  <c r="AF144" i="13"/>
  <c r="AF142" i="13"/>
  <c r="AC137" i="13"/>
  <c r="AD137" i="13" s="1"/>
  <c r="AE137" i="13"/>
  <c r="AF141" i="13"/>
  <c r="AF143" i="13"/>
  <c r="AF131" i="13"/>
  <c r="AF151" i="13"/>
  <c r="AF130" i="13"/>
  <c r="AF129" i="13"/>
  <c r="AF128" i="13"/>
  <c r="AC20" i="13"/>
  <c r="AD20" i="13" s="1"/>
  <c r="AE20" i="13"/>
  <c r="U20" i="13"/>
  <c r="W20" i="13" s="1"/>
  <c r="X20" i="13" s="1"/>
  <c r="AA20" i="13"/>
  <c r="U5" i="13"/>
  <c r="W5" i="13" s="1"/>
  <c r="X5" i="13" s="1"/>
  <c r="AB5" i="13"/>
  <c r="AF139" i="13" l="1"/>
  <c r="AD139" i="13"/>
  <c r="AF127" i="13"/>
  <c r="AD127" i="13"/>
  <c r="AF136" i="13"/>
  <c r="AF138" i="13"/>
  <c r="AF140" i="13"/>
  <c r="AF155" i="13"/>
  <c r="AF133" i="13"/>
  <c r="AF150" i="13"/>
  <c r="AF157" i="13"/>
  <c r="AF164" i="13"/>
  <c r="AF137" i="13"/>
  <c r="AF20" i="13"/>
  <c r="AC5" i="13"/>
  <c r="AD5" i="13" s="1"/>
  <c r="AE5" i="13"/>
  <c r="K9" i="13"/>
  <c r="AF5" i="13" l="1"/>
  <c r="Z107" i="13" l="1"/>
  <c r="AB107" i="13" s="1"/>
  <c r="T107" i="13"/>
  <c r="V107" i="13" s="1"/>
  <c r="P107" i="13"/>
  <c r="K107" i="13"/>
  <c r="E107" i="13"/>
  <c r="D107" i="13"/>
  <c r="C107" i="13"/>
  <c r="B107" i="13"/>
  <c r="Z118" i="13"/>
  <c r="AB118" i="13" s="1"/>
  <c r="T118" i="13"/>
  <c r="V118" i="13" s="1"/>
  <c r="P118" i="13"/>
  <c r="K118" i="13"/>
  <c r="E118" i="13"/>
  <c r="D118" i="13"/>
  <c r="C118" i="13"/>
  <c r="B118" i="13"/>
  <c r="Z101" i="13"/>
  <c r="AB101" i="13" s="1"/>
  <c r="T101" i="13"/>
  <c r="V101" i="13" s="1"/>
  <c r="P101" i="13"/>
  <c r="K101" i="13"/>
  <c r="E101" i="13"/>
  <c r="D101" i="13"/>
  <c r="C101" i="13"/>
  <c r="B101" i="13"/>
  <c r="Z100" i="13"/>
  <c r="AB100" i="13" s="1"/>
  <c r="T100" i="13"/>
  <c r="V100" i="13" s="1"/>
  <c r="P100" i="13"/>
  <c r="K100" i="13"/>
  <c r="E100" i="13"/>
  <c r="D100" i="13"/>
  <c r="C100" i="13"/>
  <c r="B100" i="13"/>
  <c r="Z152" i="13"/>
  <c r="T152" i="13"/>
  <c r="V152" i="13" s="1"/>
  <c r="P152" i="13"/>
  <c r="K152" i="13"/>
  <c r="E152" i="13"/>
  <c r="D152" i="13"/>
  <c r="C152" i="13"/>
  <c r="B152" i="13"/>
  <c r="Z126" i="13"/>
  <c r="AA126" i="13" s="1"/>
  <c r="T126" i="13"/>
  <c r="P126" i="13"/>
  <c r="E126" i="13"/>
  <c r="D126" i="13"/>
  <c r="C126" i="13"/>
  <c r="B126" i="13"/>
  <c r="Z125" i="13"/>
  <c r="AA125" i="13" s="1"/>
  <c r="T125" i="13"/>
  <c r="V125" i="13" s="1"/>
  <c r="P125" i="13"/>
  <c r="K125" i="13"/>
  <c r="E125" i="13"/>
  <c r="D125" i="13"/>
  <c r="C125" i="13"/>
  <c r="B125" i="13"/>
  <c r="Z124" i="13"/>
  <c r="AB124" i="13" s="1"/>
  <c r="AC124" i="13" s="1"/>
  <c r="AD124" i="13" s="1"/>
  <c r="T124" i="13"/>
  <c r="V124" i="13" s="1"/>
  <c r="P124" i="13"/>
  <c r="K124" i="13"/>
  <c r="E124" i="13"/>
  <c r="D124" i="13"/>
  <c r="C124" i="13"/>
  <c r="B124" i="13"/>
  <c r="Z123" i="13"/>
  <c r="T123" i="13"/>
  <c r="V123" i="13" s="1"/>
  <c r="P123" i="13"/>
  <c r="K123" i="13"/>
  <c r="E123" i="13"/>
  <c r="D123" i="13"/>
  <c r="C123" i="13"/>
  <c r="B123" i="13"/>
  <c r="Z122" i="13"/>
  <c r="AA122" i="13" s="1"/>
  <c r="T122" i="13"/>
  <c r="P122" i="13"/>
  <c r="K122" i="13"/>
  <c r="E122" i="13"/>
  <c r="D122" i="13"/>
  <c r="C122" i="13"/>
  <c r="B122" i="13"/>
  <c r="Z121" i="13"/>
  <c r="AB121" i="13" s="1"/>
  <c r="T121" i="13"/>
  <c r="V121" i="13" s="1"/>
  <c r="P121" i="13"/>
  <c r="K121" i="13"/>
  <c r="E121" i="13"/>
  <c r="D121" i="13"/>
  <c r="C121" i="13"/>
  <c r="B121" i="13"/>
  <c r="Z120" i="13"/>
  <c r="AB120" i="13" s="1"/>
  <c r="AC120" i="13" s="1"/>
  <c r="AD120" i="13" s="1"/>
  <c r="T120" i="13"/>
  <c r="U120" i="13" s="1"/>
  <c r="P120" i="13"/>
  <c r="K120" i="13"/>
  <c r="E120" i="13"/>
  <c r="D120" i="13"/>
  <c r="C120" i="13"/>
  <c r="B120" i="13"/>
  <c r="Z119" i="13"/>
  <c r="AB119" i="13" s="1"/>
  <c r="T119" i="13"/>
  <c r="U119" i="13" s="1"/>
  <c r="P119" i="13"/>
  <c r="K119" i="13"/>
  <c r="E119" i="13"/>
  <c r="D119" i="13"/>
  <c r="C119" i="13"/>
  <c r="B119" i="13"/>
  <c r="Z117" i="13"/>
  <c r="AB117" i="13" s="1"/>
  <c r="T117" i="13"/>
  <c r="V117" i="13" s="1"/>
  <c r="P117" i="13"/>
  <c r="K117" i="13"/>
  <c r="E117" i="13"/>
  <c r="D117" i="13"/>
  <c r="C117" i="13"/>
  <c r="B117" i="13"/>
  <c r="Z116" i="13"/>
  <c r="AA116" i="13" s="1"/>
  <c r="T116" i="13"/>
  <c r="V116" i="13" s="1"/>
  <c r="P116" i="13"/>
  <c r="K116" i="13"/>
  <c r="E116" i="13"/>
  <c r="D116" i="13"/>
  <c r="C116" i="13"/>
  <c r="B116" i="13"/>
  <c r="Z115" i="13"/>
  <c r="AB115" i="13" s="1"/>
  <c r="AC115" i="13" s="1"/>
  <c r="AD115" i="13" s="1"/>
  <c r="T115" i="13"/>
  <c r="U115" i="13" s="1"/>
  <c r="P115" i="13"/>
  <c r="K115" i="13"/>
  <c r="E115" i="13"/>
  <c r="D115" i="13"/>
  <c r="C115" i="13"/>
  <c r="B115" i="13"/>
  <c r="Z114" i="13"/>
  <c r="AB114" i="13" s="1"/>
  <c r="T114" i="13"/>
  <c r="V114" i="13" s="1"/>
  <c r="P114" i="13"/>
  <c r="K114" i="13"/>
  <c r="E114" i="13"/>
  <c r="D114" i="13"/>
  <c r="C114" i="13"/>
  <c r="B114" i="13"/>
  <c r="Z113" i="13"/>
  <c r="AB113" i="13" s="1"/>
  <c r="T113" i="13"/>
  <c r="V113" i="13" s="1"/>
  <c r="P113" i="13"/>
  <c r="K113" i="13"/>
  <c r="E113" i="13"/>
  <c r="D113" i="13"/>
  <c r="C113" i="13"/>
  <c r="B113" i="13"/>
  <c r="Z112" i="13"/>
  <c r="AA112" i="13" s="1"/>
  <c r="T112" i="13"/>
  <c r="V112" i="13" s="1"/>
  <c r="P112" i="13"/>
  <c r="K112" i="13"/>
  <c r="E112" i="13"/>
  <c r="D112" i="13"/>
  <c r="C112" i="13"/>
  <c r="B112" i="13"/>
  <c r="Z111" i="13"/>
  <c r="AB111" i="13" s="1"/>
  <c r="AC111" i="13" s="1"/>
  <c r="AD111" i="13" s="1"/>
  <c r="T111" i="13"/>
  <c r="U111" i="13" s="1"/>
  <c r="P111" i="13"/>
  <c r="K111" i="13"/>
  <c r="E111" i="13"/>
  <c r="D111" i="13"/>
  <c r="C111" i="13"/>
  <c r="B111" i="13"/>
  <c r="Z110" i="13"/>
  <c r="AB110" i="13" s="1"/>
  <c r="T110" i="13"/>
  <c r="V110" i="13" s="1"/>
  <c r="P110" i="13"/>
  <c r="K110" i="13"/>
  <c r="E110" i="13"/>
  <c r="D110" i="13"/>
  <c r="C110" i="13"/>
  <c r="B110" i="13"/>
  <c r="Z109" i="13"/>
  <c r="AB109" i="13" s="1"/>
  <c r="T109" i="13"/>
  <c r="V109" i="13" s="1"/>
  <c r="P109" i="13"/>
  <c r="K109" i="13"/>
  <c r="E109" i="13"/>
  <c r="D109" i="13"/>
  <c r="C109" i="13"/>
  <c r="B109" i="13"/>
  <c r="Z108" i="13"/>
  <c r="AA108" i="13" s="1"/>
  <c r="T108" i="13"/>
  <c r="V108" i="13" s="1"/>
  <c r="P108" i="13"/>
  <c r="K108" i="13"/>
  <c r="E108" i="13"/>
  <c r="D108" i="13"/>
  <c r="C108" i="13"/>
  <c r="B108" i="13"/>
  <c r="Z60" i="13"/>
  <c r="AB60" i="13" s="1"/>
  <c r="T60" i="13"/>
  <c r="V60" i="13" s="1"/>
  <c r="P60" i="13"/>
  <c r="K60" i="13"/>
  <c r="E60" i="13"/>
  <c r="D60" i="13"/>
  <c r="C60" i="13"/>
  <c r="B60" i="13"/>
  <c r="Z59" i="13"/>
  <c r="AA59" i="13" s="1"/>
  <c r="T59" i="13"/>
  <c r="V59" i="13" s="1"/>
  <c r="P59" i="13"/>
  <c r="K59" i="13"/>
  <c r="E59" i="13"/>
  <c r="D59" i="13"/>
  <c r="C59" i="13"/>
  <c r="B59" i="13"/>
  <c r="Z58" i="13"/>
  <c r="AA58" i="13" s="1"/>
  <c r="T58" i="13"/>
  <c r="U58" i="13" s="1"/>
  <c r="P58" i="13"/>
  <c r="K58" i="13"/>
  <c r="E58" i="13"/>
  <c r="D58" i="13"/>
  <c r="C58" i="13"/>
  <c r="B58" i="13"/>
  <c r="Z57" i="13"/>
  <c r="AB57" i="13" s="1"/>
  <c r="T57" i="13"/>
  <c r="V57" i="13" s="1"/>
  <c r="P57" i="13"/>
  <c r="K57" i="13"/>
  <c r="E57" i="13"/>
  <c r="D57" i="13"/>
  <c r="C57" i="13"/>
  <c r="B57" i="13"/>
  <c r="Z61" i="13"/>
  <c r="AB61" i="13" s="1"/>
  <c r="T61" i="13"/>
  <c r="V61" i="13" s="1"/>
  <c r="P61" i="13"/>
  <c r="K61" i="13"/>
  <c r="E61" i="13"/>
  <c r="D61" i="13"/>
  <c r="C61" i="13"/>
  <c r="B61" i="13"/>
  <c r="U125" i="13" l="1"/>
  <c r="W125" i="13" s="1"/>
  <c r="X125" i="13" s="1"/>
  <c r="AA111" i="13"/>
  <c r="U107" i="13"/>
  <c r="W107" i="13" s="1"/>
  <c r="X107" i="13" s="1"/>
  <c r="AC107" i="13"/>
  <c r="AD107" i="13" s="1"/>
  <c r="AE107" i="13"/>
  <c r="AA107" i="13"/>
  <c r="U100" i="13"/>
  <c r="W100" i="13" s="1"/>
  <c r="X100" i="13" s="1"/>
  <c r="U101" i="13"/>
  <c r="W101" i="13" s="1"/>
  <c r="X101" i="13" s="1"/>
  <c r="U118" i="13"/>
  <c r="W118" i="13" s="1"/>
  <c r="X118" i="13" s="1"/>
  <c r="AC118" i="13"/>
  <c r="AD118" i="13" s="1"/>
  <c r="AE118" i="13"/>
  <c r="AA118" i="13"/>
  <c r="V115" i="13"/>
  <c r="W115" i="13" s="1"/>
  <c r="X115" i="13" s="1"/>
  <c r="AB125" i="13"/>
  <c r="AE125" i="13" s="1"/>
  <c r="AB108" i="13"/>
  <c r="AE108" i="13" s="1"/>
  <c r="U110" i="13"/>
  <c r="W110" i="13" s="1"/>
  <c r="X110" i="13" s="1"/>
  <c r="V119" i="13"/>
  <c r="AE119" i="13" s="1"/>
  <c r="AE124" i="13"/>
  <c r="AC101" i="13"/>
  <c r="AD101" i="13" s="1"/>
  <c r="AE101" i="13"/>
  <c r="AA101" i="13"/>
  <c r="AA120" i="13"/>
  <c r="AB116" i="13"/>
  <c r="AE116" i="13" s="1"/>
  <c r="U124" i="13"/>
  <c r="W124" i="13" s="1"/>
  <c r="X124" i="13" s="1"/>
  <c r="AC100" i="13"/>
  <c r="AD100" i="13" s="1"/>
  <c r="AE100" i="13"/>
  <c r="AA100" i="13"/>
  <c r="V111" i="13"/>
  <c r="AE111" i="13" s="1"/>
  <c r="AB112" i="13"/>
  <c r="AC112" i="13" s="1"/>
  <c r="AD112" i="13" s="1"/>
  <c r="U114" i="13"/>
  <c r="W114" i="13" s="1"/>
  <c r="X114" i="13" s="1"/>
  <c r="AA115" i="13"/>
  <c r="V120" i="13"/>
  <c r="AE120" i="13" s="1"/>
  <c r="AB122" i="13"/>
  <c r="AC122" i="13" s="1"/>
  <c r="AD122" i="13" s="1"/>
  <c r="AB126" i="13"/>
  <c r="AC126" i="13" s="1"/>
  <c r="AD126" i="13" s="1"/>
  <c r="U123" i="13"/>
  <c r="W123" i="13" s="1"/>
  <c r="X123" i="13" s="1"/>
  <c r="AA124" i="13"/>
  <c r="U152" i="13"/>
  <c r="W152" i="13" s="1"/>
  <c r="X152" i="13" s="1"/>
  <c r="AE117" i="13"/>
  <c r="AC117" i="13"/>
  <c r="AD117" i="13" s="1"/>
  <c r="AC121" i="13"/>
  <c r="AD121" i="13" s="1"/>
  <c r="AE121" i="13"/>
  <c r="AC109" i="13"/>
  <c r="AD109" i="13" s="1"/>
  <c r="AE109" i="13"/>
  <c r="AC114" i="13"/>
  <c r="AD114" i="13" s="1"/>
  <c r="AE114" i="13"/>
  <c r="AC110" i="13"/>
  <c r="AD110" i="13" s="1"/>
  <c r="AE110" i="13"/>
  <c r="AC113" i="13"/>
  <c r="AD113" i="13" s="1"/>
  <c r="AE113" i="13"/>
  <c r="AC119" i="13"/>
  <c r="AD119" i="13" s="1"/>
  <c r="U109" i="13"/>
  <c r="W109" i="13" s="1"/>
  <c r="X109" i="13" s="1"/>
  <c r="AA110" i="13"/>
  <c r="AA114" i="13"/>
  <c r="U117" i="13"/>
  <c r="W117" i="13" s="1"/>
  <c r="X117" i="13" s="1"/>
  <c r="AA119" i="13"/>
  <c r="V122" i="13"/>
  <c r="U122" i="13"/>
  <c r="W122" i="13" s="1"/>
  <c r="X122" i="13" s="1"/>
  <c r="V126" i="13"/>
  <c r="U126" i="13"/>
  <c r="U112" i="13"/>
  <c r="W112" i="13" s="1"/>
  <c r="X112" i="13" s="1"/>
  <c r="U116" i="13"/>
  <c r="W116" i="13" s="1"/>
  <c r="X116" i="13" s="1"/>
  <c r="AA117" i="13"/>
  <c r="U121" i="13"/>
  <c r="W121" i="13" s="1"/>
  <c r="X121" i="13" s="1"/>
  <c r="AA121" i="13"/>
  <c r="U113" i="13"/>
  <c r="W113" i="13" s="1"/>
  <c r="X113" i="13" s="1"/>
  <c r="U108" i="13"/>
  <c r="W108" i="13" s="1"/>
  <c r="X108" i="13" s="1"/>
  <c r="AA109" i="13"/>
  <c r="AA113" i="13"/>
  <c r="AB123" i="13"/>
  <c r="AA123" i="13"/>
  <c r="AB152" i="13"/>
  <c r="AA152" i="13"/>
  <c r="U57" i="13"/>
  <c r="W57" i="13" s="1"/>
  <c r="X57" i="13" s="1"/>
  <c r="U60" i="13"/>
  <c r="W60" i="13" s="1"/>
  <c r="X60" i="13" s="1"/>
  <c r="AB58" i="13"/>
  <c r="AC58" i="13" s="1"/>
  <c r="AD58" i="13" s="1"/>
  <c r="AA57" i="13"/>
  <c r="V58" i="13"/>
  <c r="W58" i="13" s="1"/>
  <c r="X58" i="13" s="1"/>
  <c r="AB59" i="13"/>
  <c r="AC59" i="13" s="1"/>
  <c r="AD59" i="13" s="1"/>
  <c r="AC57" i="13"/>
  <c r="AD57" i="13" s="1"/>
  <c r="AE57" i="13"/>
  <c r="AC60" i="13"/>
  <c r="AD60" i="13" s="1"/>
  <c r="AE60" i="13"/>
  <c r="U59" i="13"/>
  <c r="W59" i="13" s="1"/>
  <c r="X59" i="13" s="1"/>
  <c r="AA60" i="13"/>
  <c r="U61" i="13"/>
  <c r="W61" i="13" s="1"/>
  <c r="X61" i="13" s="1"/>
  <c r="AC61" i="13"/>
  <c r="AD61" i="13" s="1"/>
  <c r="AE61" i="13"/>
  <c r="AA61" i="13"/>
  <c r="Z47" i="13"/>
  <c r="AA47" i="13" s="1"/>
  <c r="T47" i="13"/>
  <c r="V47" i="13" s="1"/>
  <c r="P47" i="13"/>
  <c r="K47" i="13"/>
  <c r="E47" i="13"/>
  <c r="D47" i="13"/>
  <c r="C47" i="13"/>
  <c r="B47" i="13"/>
  <c r="Z46" i="13"/>
  <c r="AB46" i="13" s="1"/>
  <c r="T46" i="13"/>
  <c r="V46" i="13" s="1"/>
  <c r="P46" i="13"/>
  <c r="K46" i="13"/>
  <c r="E46" i="13"/>
  <c r="D46" i="13"/>
  <c r="C46" i="13"/>
  <c r="B46" i="13"/>
  <c r="E29" i="13"/>
  <c r="D29" i="13"/>
  <c r="C29" i="13"/>
  <c r="B29" i="13"/>
  <c r="K29" i="13"/>
  <c r="P29" i="13"/>
  <c r="T29" i="13"/>
  <c r="U29" i="13" s="1"/>
  <c r="T28" i="13"/>
  <c r="Z29" i="13"/>
  <c r="AB29" i="13" s="1"/>
  <c r="AC29" i="13" s="1"/>
  <c r="AD29" i="13" s="1"/>
  <c r="E17" i="26"/>
  <c r="W126" i="13" l="1"/>
  <c r="X126" i="13" s="1"/>
  <c r="W119" i="13"/>
  <c r="W120" i="13"/>
  <c r="X120" i="13" s="1"/>
  <c r="AE115" i="13"/>
  <c r="AF115" i="13"/>
  <c r="W111" i="13"/>
  <c r="X111" i="13" s="1"/>
  <c r="AE126" i="13"/>
  <c r="AC125" i="13"/>
  <c r="AD125" i="13" s="1"/>
  <c r="AE112" i="13"/>
  <c r="AC108" i="13"/>
  <c r="AD108" i="13" s="1"/>
  <c r="AF107" i="13"/>
  <c r="AE122" i="13"/>
  <c r="AF124" i="13"/>
  <c r="AF118" i="13"/>
  <c r="AF122" i="13"/>
  <c r="AF101" i="13"/>
  <c r="AE59" i="13"/>
  <c r="AC116" i="13"/>
  <c r="AF100" i="13"/>
  <c r="AF112" i="13"/>
  <c r="AC152" i="13"/>
  <c r="AD152" i="13" s="1"/>
  <c r="AE152" i="13"/>
  <c r="AF110" i="13"/>
  <c r="AF109" i="13"/>
  <c r="AF121" i="13"/>
  <c r="AF113" i="13"/>
  <c r="AF117" i="13"/>
  <c r="AC123" i="13"/>
  <c r="AD123" i="13" s="1"/>
  <c r="AE123" i="13"/>
  <c r="AF114" i="13"/>
  <c r="AE58" i="13"/>
  <c r="AF59" i="13"/>
  <c r="AF58" i="13"/>
  <c r="AF60" i="13"/>
  <c r="AF57" i="13"/>
  <c r="AF61" i="13"/>
  <c r="U47" i="13"/>
  <c r="W47" i="13" s="1"/>
  <c r="X47" i="13" s="1"/>
  <c r="AB47" i="13"/>
  <c r="AA29" i="13"/>
  <c r="AE46" i="13"/>
  <c r="AC46" i="13"/>
  <c r="AD46" i="13" s="1"/>
  <c r="U46" i="13"/>
  <c r="W46" i="13" s="1"/>
  <c r="X46" i="13" s="1"/>
  <c r="AA46" i="13"/>
  <c r="V29" i="13"/>
  <c r="AE29" i="13" s="1"/>
  <c r="D17" i="26"/>
  <c r="B17" i="26"/>
  <c r="D15" i="26"/>
  <c r="D16" i="26"/>
  <c r="AF116" i="13" l="1"/>
  <c r="AD116" i="13"/>
  <c r="AF119" i="13"/>
  <c r="X119" i="13"/>
  <c r="AF126" i="13"/>
  <c r="AF120" i="13"/>
  <c r="W29" i="13"/>
  <c r="X29" i="13" s="1"/>
  <c r="AF125" i="13"/>
  <c r="AF111" i="13"/>
  <c r="AF108" i="13"/>
  <c r="AF152" i="13"/>
  <c r="AF123" i="13"/>
  <c r="AC47" i="13"/>
  <c r="AD47" i="13" s="1"/>
  <c r="AE47" i="13"/>
  <c r="AF46" i="13"/>
  <c r="T38" i="13"/>
  <c r="U38" i="13" s="1"/>
  <c r="Z38" i="13"/>
  <c r="T39" i="13"/>
  <c r="Z39" i="13"/>
  <c r="T40" i="13"/>
  <c r="Z40" i="13"/>
  <c r="T41" i="13"/>
  <c r="Z41" i="13"/>
  <c r="AB41" i="13" s="1"/>
  <c r="T42" i="13"/>
  <c r="U42" i="13" s="1"/>
  <c r="Z42" i="13"/>
  <c r="T43" i="13"/>
  <c r="V43" i="13" s="1"/>
  <c r="Z43" i="13"/>
  <c r="AB43" i="13" s="1"/>
  <c r="T44" i="13"/>
  <c r="Z44" i="13"/>
  <c r="T45" i="13"/>
  <c r="Z45" i="13"/>
  <c r="T48" i="13"/>
  <c r="V48" i="13" s="1"/>
  <c r="Z48" i="13"/>
  <c r="T49" i="13"/>
  <c r="Z49" i="13"/>
  <c r="T50" i="13"/>
  <c r="Z50" i="13"/>
  <c r="T51" i="13"/>
  <c r="Z51" i="13"/>
  <c r="AB51" i="13" s="1"/>
  <c r="T52" i="13"/>
  <c r="V52" i="13" s="1"/>
  <c r="Z52" i="13"/>
  <c r="AB52" i="13" s="1"/>
  <c r="AC52" i="13" s="1"/>
  <c r="AD52" i="13" s="1"/>
  <c r="T53" i="13"/>
  <c r="V53" i="13" s="1"/>
  <c r="Z53" i="13"/>
  <c r="T54" i="13"/>
  <c r="Z54" i="13"/>
  <c r="T55" i="13"/>
  <c r="U55" i="13" s="1"/>
  <c r="Z55" i="13"/>
  <c r="T56" i="13"/>
  <c r="Z56" i="13"/>
  <c r="AB56" i="13" s="1"/>
  <c r="T62" i="13"/>
  <c r="Z62" i="13"/>
  <c r="T63" i="13"/>
  <c r="Z63" i="13"/>
  <c r="T64" i="13"/>
  <c r="U64" i="13" s="1"/>
  <c r="W64" i="13" s="1"/>
  <c r="X64" i="13" s="1"/>
  <c r="Z64" i="13"/>
  <c r="AB64" i="13" s="1"/>
  <c r="T65" i="13"/>
  <c r="U65" i="13" s="1"/>
  <c r="Z65" i="13"/>
  <c r="AB65" i="13" s="1"/>
  <c r="AC65" i="13" s="1"/>
  <c r="AD65" i="13" s="1"/>
  <c r="T66" i="13"/>
  <c r="V66" i="13" s="1"/>
  <c r="Z66" i="13"/>
  <c r="T67" i="13"/>
  <c r="Z67" i="13"/>
  <c r="AB67" i="13" s="1"/>
  <c r="AC67" i="13" s="1"/>
  <c r="AD67" i="13" s="1"/>
  <c r="T68" i="13"/>
  <c r="U68" i="13" s="1"/>
  <c r="Z68" i="13"/>
  <c r="AA68" i="13" s="1"/>
  <c r="T69" i="13"/>
  <c r="U69" i="13" s="1"/>
  <c r="Z69" i="13"/>
  <c r="T70" i="13"/>
  <c r="Z70" i="13"/>
  <c r="T71" i="13"/>
  <c r="Z71" i="13"/>
  <c r="AA71" i="13" s="1"/>
  <c r="T72" i="13"/>
  <c r="Z72" i="13"/>
  <c r="AB72" i="13" s="1"/>
  <c r="T73" i="13"/>
  <c r="V73" i="13" s="1"/>
  <c r="Z73" i="13"/>
  <c r="T74" i="13"/>
  <c r="Z74" i="13"/>
  <c r="T75" i="13"/>
  <c r="Z75" i="13"/>
  <c r="AA75" i="13" s="1"/>
  <c r="T76" i="13"/>
  <c r="V76" i="13" s="1"/>
  <c r="Z76" i="13"/>
  <c r="T77" i="13"/>
  <c r="Z77" i="13"/>
  <c r="T78" i="13"/>
  <c r="Z78" i="13"/>
  <c r="AA78" i="13" s="1"/>
  <c r="T79" i="13"/>
  <c r="U79" i="13" s="1"/>
  <c r="Z79" i="13"/>
  <c r="AB79" i="13" s="1"/>
  <c r="AC79" i="13" s="1"/>
  <c r="AD79" i="13" s="1"/>
  <c r="T80" i="13"/>
  <c r="U80" i="13" s="1"/>
  <c r="Z80" i="13"/>
  <c r="AB80" i="13" s="1"/>
  <c r="T81" i="13"/>
  <c r="V81" i="13" s="1"/>
  <c r="Z81" i="13"/>
  <c r="T82" i="13"/>
  <c r="Z82" i="13"/>
  <c r="T83" i="13"/>
  <c r="U83" i="13" s="1"/>
  <c r="Z83" i="13"/>
  <c r="AA83" i="13" s="1"/>
  <c r="T84" i="13"/>
  <c r="Z84" i="13"/>
  <c r="AB84" i="13" s="1"/>
  <c r="T85" i="13"/>
  <c r="U85" i="13" s="1"/>
  <c r="Z85" i="13"/>
  <c r="T86" i="13"/>
  <c r="Z86" i="13"/>
  <c r="T87" i="13"/>
  <c r="Z87" i="13"/>
  <c r="AB87" i="13" s="1"/>
  <c r="AC87" i="13" s="1"/>
  <c r="AD87" i="13" s="1"/>
  <c r="T88" i="13"/>
  <c r="V88" i="13" s="1"/>
  <c r="Z88" i="13"/>
  <c r="T90" i="13"/>
  <c r="Z90" i="13"/>
  <c r="AB90" i="13" s="1"/>
  <c r="AC90" i="13" s="1"/>
  <c r="AD90" i="13" s="1"/>
  <c r="T91" i="13"/>
  <c r="Z91" i="13"/>
  <c r="AA91" i="13" s="1"/>
  <c r="T92" i="13"/>
  <c r="U92" i="13" s="1"/>
  <c r="Z92" i="13"/>
  <c r="T93" i="13"/>
  <c r="Z93" i="13"/>
  <c r="T94" i="13"/>
  <c r="Z94" i="13"/>
  <c r="AA94" i="13" s="1"/>
  <c r="T95" i="13"/>
  <c r="Z95" i="13"/>
  <c r="T96" i="13"/>
  <c r="Z96" i="13"/>
  <c r="T97" i="13"/>
  <c r="Z97" i="13"/>
  <c r="T98" i="13"/>
  <c r="Z98" i="13"/>
  <c r="T99" i="13"/>
  <c r="V99" i="13" s="1"/>
  <c r="Z99" i="13"/>
  <c r="AB99" i="13" s="1"/>
  <c r="T102" i="13"/>
  <c r="V102" i="13" s="1"/>
  <c r="Z102" i="13"/>
  <c r="AB102" i="13" s="1"/>
  <c r="AC102" i="13" s="1"/>
  <c r="AD102" i="13" s="1"/>
  <c r="T103" i="13"/>
  <c r="V103" i="13" s="1"/>
  <c r="Z103" i="13"/>
  <c r="AA103" i="13" s="1"/>
  <c r="T104" i="13"/>
  <c r="U104" i="13" s="1"/>
  <c r="Z104" i="13"/>
  <c r="AB104" i="13" s="1"/>
  <c r="T105" i="13"/>
  <c r="V105" i="13" s="1"/>
  <c r="Z105" i="13"/>
  <c r="T106" i="13"/>
  <c r="V106" i="13" s="1"/>
  <c r="Z106" i="13"/>
  <c r="AB106" i="13" s="1"/>
  <c r="AC106" i="13" s="1"/>
  <c r="AD106" i="13" s="1"/>
  <c r="T173" i="13"/>
  <c r="Z173" i="13"/>
  <c r="AA173" i="13" s="1"/>
  <c r="T174" i="13"/>
  <c r="U174" i="13" s="1"/>
  <c r="Z174" i="13"/>
  <c r="AA174" i="13" s="1"/>
  <c r="T175" i="13"/>
  <c r="V175" i="13" s="1"/>
  <c r="Z175" i="13"/>
  <c r="AB175" i="13" s="1"/>
  <c r="T176" i="13"/>
  <c r="Z176" i="13"/>
  <c r="T177" i="13"/>
  <c r="Z177" i="13"/>
  <c r="T178" i="13"/>
  <c r="Z178" i="13"/>
  <c r="T179" i="13"/>
  <c r="Z179" i="13"/>
  <c r="T180" i="13"/>
  <c r="Z180" i="13"/>
  <c r="T181" i="13"/>
  <c r="Z181" i="13"/>
  <c r="AA181" i="13" s="1"/>
  <c r="T182" i="13"/>
  <c r="Z182" i="13"/>
  <c r="AA182" i="13" s="1"/>
  <c r="T183" i="13"/>
  <c r="Z183" i="13"/>
  <c r="AB183" i="13" s="1"/>
  <c r="T184" i="13"/>
  <c r="V184" i="13" s="1"/>
  <c r="Z184" i="13"/>
  <c r="T185" i="13"/>
  <c r="Z185" i="13"/>
  <c r="AA185" i="13" s="1"/>
  <c r="T186" i="13"/>
  <c r="U186" i="13" s="1"/>
  <c r="W186" i="13" s="1"/>
  <c r="X186" i="13" s="1"/>
  <c r="Z186" i="13"/>
  <c r="AA186" i="13" s="1"/>
  <c r="T187" i="13"/>
  <c r="U187" i="13" s="1"/>
  <c r="W187" i="13" s="1"/>
  <c r="X187" i="13" s="1"/>
  <c r="Z187" i="13"/>
  <c r="T188" i="13"/>
  <c r="Z188" i="13"/>
  <c r="T189" i="13"/>
  <c r="Z189" i="13"/>
  <c r="T190" i="13"/>
  <c r="Z190" i="13"/>
  <c r="AA190" i="13" s="1"/>
  <c r="T191" i="13"/>
  <c r="U191" i="13" s="1"/>
  <c r="Z191" i="13"/>
  <c r="AB191" i="13" s="1"/>
  <c r="T192" i="13"/>
  <c r="V192" i="13" s="1"/>
  <c r="Z192" i="13"/>
  <c r="T193" i="13"/>
  <c r="Z193" i="13"/>
  <c r="T194" i="13"/>
  <c r="U194" i="13" s="1"/>
  <c r="Z194" i="13"/>
  <c r="AA194" i="13" s="1"/>
  <c r="T195" i="13"/>
  <c r="U195" i="13" s="1"/>
  <c r="W195" i="13" s="1"/>
  <c r="X195" i="13" s="1"/>
  <c r="Z195" i="13"/>
  <c r="T196" i="13"/>
  <c r="Z196" i="13"/>
  <c r="T197" i="13"/>
  <c r="Z197" i="13"/>
  <c r="AA197" i="13" s="1"/>
  <c r="T198" i="13"/>
  <c r="U198" i="13" s="1"/>
  <c r="Z198" i="13"/>
  <c r="AB198" i="13" s="1"/>
  <c r="T199" i="13"/>
  <c r="Z199" i="13"/>
  <c r="AB199" i="13" s="1"/>
  <c r="AC199" i="13" s="1"/>
  <c r="AD199" i="13" s="1"/>
  <c r="T200" i="13"/>
  <c r="V200" i="13" s="1"/>
  <c r="Z200" i="13"/>
  <c r="T201" i="13"/>
  <c r="Z201" i="13"/>
  <c r="T202" i="13"/>
  <c r="U202" i="13" s="1"/>
  <c r="Z202" i="13"/>
  <c r="AB202" i="13" s="1"/>
  <c r="AC202" i="13" s="1"/>
  <c r="AD202" i="13" s="1"/>
  <c r="T203" i="13"/>
  <c r="V203" i="13" s="1"/>
  <c r="Z203" i="13"/>
  <c r="T204" i="13"/>
  <c r="V204" i="13" s="1"/>
  <c r="Z204" i="13"/>
  <c r="T205" i="13"/>
  <c r="V205" i="13" s="1"/>
  <c r="Z205" i="13"/>
  <c r="AA205" i="13" s="1"/>
  <c r="T206" i="13"/>
  <c r="Z206" i="13"/>
  <c r="AB206" i="13" s="1"/>
  <c r="T207" i="13"/>
  <c r="U207" i="13" s="1"/>
  <c r="Z207" i="13"/>
  <c r="AB207" i="13" s="1"/>
  <c r="T208" i="13"/>
  <c r="Z208" i="13"/>
  <c r="T209" i="13"/>
  <c r="V209" i="13" s="1"/>
  <c r="Z209" i="13"/>
  <c r="AA209" i="13" s="1"/>
  <c r="T210" i="13"/>
  <c r="Z210" i="13"/>
  <c r="T211" i="13"/>
  <c r="U211" i="13" s="1"/>
  <c r="Z211" i="13"/>
  <c r="AB211" i="13" s="1"/>
  <c r="T212" i="13"/>
  <c r="Z212" i="13"/>
  <c r="AA212" i="13" s="1"/>
  <c r="T213" i="13"/>
  <c r="Z213" i="13"/>
  <c r="AB213" i="13" s="1"/>
  <c r="T214" i="13"/>
  <c r="U214" i="13" s="1"/>
  <c r="W214" i="13" s="1"/>
  <c r="X214" i="13" s="1"/>
  <c r="Z214" i="13"/>
  <c r="T215" i="13"/>
  <c r="Z215" i="13"/>
  <c r="T216" i="13"/>
  <c r="Z216" i="13"/>
  <c r="AA216" i="13" s="1"/>
  <c r="T217" i="13"/>
  <c r="U217" i="13" s="1"/>
  <c r="Z217" i="13"/>
  <c r="AA217" i="13" s="1"/>
  <c r="T218" i="13"/>
  <c r="Z218" i="13"/>
  <c r="AB218" i="13" s="1"/>
  <c r="AC218" i="13" s="1"/>
  <c r="AD218" i="13" s="1"/>
  <c r="T219" i="13"/>
  <c r="V219" i="13" s="1"/>
  <c r="Z219" i="13"/>
  <c r="T220" i="13"/>
  <c r="Z220" i="13"/>
  <c r="AA220" i="13" s="1"/>
  <c r="T221" i="13"/>
  <c r="U221" i="13" s="1"/>
  <c r="Z221" i="13"/>
  <c r="AA221" i="13" s="1"/>
  <c r="T222" i="13"/>
  <c r="V222" i="13" s="1"/>
  <c r="Z222" i="13"/>
  <c r="T223" i="13"/>
  <c r="Z223" i="13"/>
  <c r="T224" i="13"/>
  <c r="Z224" i="13"/>
  <c r="AA224" i="13" s="1"/>
  <c r="T225" i="13"/>
  <c r="Z225" i="13"/>
  <c r="AB225" i="13" s="1"/>
  <c r="T226" i="13"/>
  <c r="U226" i="13" s="1"/>
  <c r="Z226" i="13"/>
  <c r="T227" i="13"/>
  <c r="V227" i="13" s="1"/>
  <c r="Z227" i="13"/>
  <c r="T228" i="13"/>
  <c r="Z228" i="13"/>
  <c r="T229" i="13"/>
  <c r="U229" i="13" s="1"/>
  <c r="Z229" i="13"/>
  <c r="AB229" i="13" s="1"/>
  <c r="T230" i="13"/>
  <c r="V230" i="13" s="1"/>
  <c r="Z230" i="13"/>
  <c r="T231" i="13"/>
  <c r="Z231" i="13"/>
  <c r="T232" i="13"/>
  <c r="Z232" i="13"/>
  <c r="AA232" i="13" s="1"/>
  <c r="T233" i="13"/>
  <c r="U233" i="13" s="1"/>
  <c r="Z233" i="13"/>
  <c r="AB233" i="13" s="1"/>
  <c r="T234" i="13"/>
  <c r="U234" i="13" s="1"/>
  <c r="Z234" i="13"/>
  <c r="AA234" i="13" s="1"/>
  <c r="T235" i="13"/>
  <c r="Z235" i="13"/>
  <c r="T236" i="13"/>
  <c r="Z236" i="13"/>
  <c r="AA236" i="13" s="1"/>
  <c r="T237" i="13"/>
  <c r="Z237" i="13"/>
  <c r="AB237" i="13" s="1"/>
  <c r="T238" i="13"/>
  <c r="Z238" i="13"/>
  <c r="T239" i="13"/>
  <c r="Z239" i="13"/>
  <c r="T240" i="13"/>
  <c r="Z240" i="13"/>
  <c r="AA240" i="13" s="1"/>
  <c r="T241" i="13"/>
  <c r="U241" i="13" s="1"/>
  <c r="Z241" i="13"/>
  <c r="T242" i="13"/>
  <c r="V242" i="13" s="1"/>
  <c r="Z242" i="13"/>
  <c r="AB242" i="13" s="1"/>
  <c r="AC242" i="13" s="1"/>
  <c r="AD242" i="13" s="1"/>
  <c r="T243" i="13"/>
  <c r="V243" i="13" s="1"/>
  <c r="Z243" i="13"/>
  <c r="T244" i="13"/>
  <c r="Z244" i="13"/>
  <c r="AA244" i="13" s="1"/>
  <c r="T245" i="13"/>
  <c r="U245" i="13" s="1"/>
  <c r="Z245" i="13"/>
  <c r="T246" i="13"/>
  <c r="U246" i="13" s="1"/>
  <c r="Z246" i="13"/>
  <c r="T247" i="13"/>
  <c r="Z247" i="13"/>
  <c r="T248" i="13"/>
  <c r="Z248" i="13"/>
  <c r="T249" i="13"/>
  <c r="Z249" i="13"/>
  <c r="T250" i="13"/>
  <c r="Z250" i="13"/>
  <c r="AB250" i="13" s="1"/>
  <c r="T251" i="13"/>
  <c r="U251" i="13" s="1"/>
  <c r="Z251" i="13"/>
  <c r="T252" i="13"/>
  <c r="Z252" i="13"/>
  <c r="AA252" i="13" s="1"/>
  <c r="T253" i="13"/>
  <c r="Z253" i="13"/>
  <c r="T254" i="13"/>
  <c r="Z254" i="13"/>
  <c r="T255" i="13"/>
  <c r="U255" i="13" s="1"/>
  <c r="Z255" i="13"/>
  <c r="T256" i="13"/>
  <c r="Z256" i="13"/>
  <c r="T257" i="13"/>
  <c r="U257" i="13" s="1"/>
  <c r="Z257" i="13"/>
  <c r="T258" i="13"/>
  <c r="V258" i="13" s="1"/>
  <c r="Z258" i="13"/>
  <c r="AB258" i="13" s="1"/>
  <c r="AC258" i="13" s="1"/>
  <c r="AD258" i="13" s="1"/>
  <c r="T259" i="13"/>
  <c r="V259" i="13" s="1"/>
  <c r="Z259" i="13"/>
  <c r="AB259" i="13" s="1"/>
  <c r="AC259" i="13" s="1"/>
  <c r="AD259" i="13" s="1"/>
  <c r="T260" i="13"/>
  <c r="V260" i="13" s="1"/>
  <c r="Z260" i="13"/>
  <c r="AA260" i="13" s="1"/>
  <c r="T261" i="13"/>
  <c r="U261" i="13" s="1"/>
  <c r="Z261" i="13"/>
  <c r="AA261" i="13" s="1"/>
  <c r="T262" i="13"/>
  <c r="V262" i="13" s="1"/>
  <c r="Z262" i="13"/>
  <c r="AA262" i="13" s="1"/>
  <c r="T263" i="13"/>
  <c r="Z263" i="13"/>
  <c r="T7" i="13"/>
  <c r="U7" i="13" s="1"/>
  <c r="Z7" i="13"/>
  <c r="AA7" i="13" s="1"/>
  <c r="T8" i="13"/>
  <c r="Z8" i="13"/>
  <c r="AB8" i="13" s="1"/>
  <c r="AC8" i="13" s="1"/>
  <c r="AD8" i="13" s="1"/>
  <c r="T9" i="13"/>
  <c r="V9" i="13" s="1"/>
  <c r="Z9" i="13"/>
  <c r="T10" i="13"/>
  <c r="Z10" i="13"/>
  <c r="AA10" i="13" s="1"/>
  <c r="T11" i="13"/>
  <c r="U11" i="13" s="1"/>
  <c r="Z11" i="13"/>
  <c r="AA11" i="13" s="1"/>
  <c r="T12" i="13"/>
  <c r="V12" i="13" s="1"/>
  <c r="Z12" i="13"/>
  <c r="AB12" i="13" s="1"/>
  <c r="AC12" i="13" s="1"/>
  <c r="AD12" i="13" s="1"/>
  <c r="T13" i="13"/>
  <c r="V13" i="13" s="1"/>
  <c r="Z13" i="13"/>
  <c r="T14" i="13"/>
  <c r="Z14" i="13"/>
  <c r="AA14" i="13" s="1"/>
  <c r="T15" i="13"/>
  <c r="U15" i="13" s="1"/>
  <c r="Z15" i="13"/>
  <c r="AB15" i="13" s="1"/>
  <c r="AC15" i="13" s="1"/>
  <c r="AD15" i="13" s="1"/>
  <c r="T16" i="13"/>
  <c r="U16" i="13" s="1"/>
  <c r="Z16" i="13"/>
  <c r="T17" i="13"/>
  <c r="Z17" i="13"/>
  <c r="T18" i="13"/>
  <c r="Z18" i="13"/>
  <c r="AA18" i="13" s="1"/>
  <c r="T19" i="13"/>
  <c r="U19" i="13" s="1"/>
  <c r="Z19" i="13"/>
  <c r="AA19" i="13" s="1"/>
  <c r="T21" i="13"/>
  <c r="Z21" i="13"/>
  <c r="T22" i="13"/>
  <c r="V22" i="13" s="1"/>
  <c r="Z22" i="13"/>
  <c r="T23" i="13"/>
  <c r="Z23" i="13"/>
  <c r="AA23" i="13" s="1"/>
  <c r="T24" i="13"/>
  <c r="U24" i="13" s="1"/>
  <c r="Z24" i="13"/>
  <c r="AB24" i="13" s="1"/>
  <c r="AC24" i="13" s="1"/>
  <c r="AD24" i="13" s="1"/>
  <c r="T25" i="13"/>
  <c r="U25" i="13" s="1"/>
  <c r="Z25" i="13"/>
  <c r="AB25" i="13" s="1"/>
  <c r="AC25" i="13" s="1"/>
  <c r="AD25" i="13" s="1"/>
  <c r="T26" i="13"/>
  <c r="V26" i="13" s="1"/>
  <c r="Z26" i="13"/>
  <c r="T27" i="13"/>
  <c r="Z27" i="13"/>
  <c r="AA27" i="13" s="1"/>
  <c r="Z28" i="13"/>
  <c r="AB28" i="13" s="1"/>
  <c r="AC28" i="13" s="1"/>
  <c r="AD28" i="13" s="1"/>
  <c r="T30" i="13"/>
  <c r="U30" i="13" s="1"/>
  <c r="Z30" i="13"/>
  <c r="AB30" i="13" s="1"/>
  <c r="AC30" i="13" s="1"/>
  <c r="AD30" i="13" s="1"/>
  <c r="T31" i="13"/>
  <c r="V31" i="13" s="1"/>
  <c r="Z31" i="13"/>
  <c r="T32" i="13"/>
  <c r="Z32" i="13"/>
  <c r="AA32" i="13" s="1"/>
  <c r="T33" i="13"/>
  <c r="U33" i="13" s="1"/>
  <c r="Z33" i="13"/>
  <c r="AA33" i="13" s="1"/>
  <c r="T34" i="13"/>
  <c r="U34" i="13" s="1"/>
  <c r="Z34" i="13"/>
  <c r="AB34" i="13" s="1"/>
  <c r="AC34" i="13" s="1"/>
  <c r="AD34" i="13" s="1"/>
  <c r="T35" i="13"/>
  <c r="U35" i="13" s="1"/>
  <c r="Z35" i="13"/>
  <c r="AB35" i="13" s="1"/>
  <c r="AC35" i="13" s="1"/>
  <c r="AD35" i="13" s="1"/>
  <c r="T36" i="13"/>
  <c r="V36" i="13" s="1"/>
  <c r="Z36" i="13"/>
  <c r="AA36" i="13" s="1"/>
  <c r="T37" i="13"/>
  <c r="U37" i="13" s="1"/>
  <c r="Z37" i="13"/>
  <c r="AB37" i="13" s="1"/>
  <c r="AC37" i="13" s="1"/>
  <c r="AD37" i="13" s="1"/>
  <c r="AA15" i="13" l="1"/>
  <c r="AF29" i="13"/>
  <c r="AF47" i="13"/>
  <c r="AA64" i="13"/>
  <c r="AB33" i="13"/>
  <c r="AC33" i="13" s="1"/>
  <c r="AD33" i="13" s="1"/>
  <c r="AB185" i="13"/>
  <c r="AC185" i="13" s="1"/>
  <c r="AD185" i="13" s="1"/>
  <c r="AA35" i="13"/>
  <c r="V34" i="13"/>
  <c r="AE34" i="13" s="1"/>
  <c r="V16" i="13"/>
  <c r="W16" i="13" s="1"/>
  <c r="X16" i="13" s="1"/>
  <c r="AA258" i="13"/>
  <c r="V255" i="13"/>
  <c r="W255" i="13" s="1"/>
  <c r="X255" i="13" s="1"/>
  <c r="AB209" i="13"/>
  <c r="AE209" i="13" s="1"/>
  <c r="AA99" i="13"/>
  <c r="AA67" i="13"/>
  <c r="AB23" i="13"/>
  <c r="AC23" i="13" s="1"/>
  <c r="AD23" i="13" s="1"/>
  <c r="V19" i="13"/>
  <c r="W19" i="13" s="1"/>
  <c r="X19" i="13" s="1"/>
  <c r="AB197" i="13"/>
  <c r="AC197" i="13" s="1"/>
  <c r="AD197" i="13" s="1"/>
  <c r="AB78" i="13"/>
  <c r="AC78" i="13" s="1"/>
  <c r="AD78" i="13" s="1"/>
  <c r="AB7" i="13"/>
  <c r="AC7" i="13" s="1"/>
  <c r="AD7" i="13" s="1"/>
  <c r="AB261" i="13"/>
  <c r="AC261" i="13" s="1"/>
  <c r="AD261" i="13" s="1"/>
  <c r="AB194" i="13"/>
  <c r="AC194" i="13" s="1"/>
  <c r="AD194" i="13" s="1"/>
  <c r="AA24" i="13"/>
  <c r="U262" i="13"/>
  <c r="W262" i="13" s="1"/>
  <c r="X262" i="13" s="1"/>
  <c r="AA202" i="13"/>
  <c r="AB182" i="13"/>
  <c r="AC182" i="13" s="1"/>
  <c r="AD182" i="13" s="1"/>
  <c r="AB83" i="13"/>
  <c r="AC83" i="13" s="1"/>
  <c r="AD83" i="13" s="1"/>
  <c r="U73" i="13"/>
  <c r="W73" i="13" s="1"/>
  <c r="X73" i="13" s="1"/>
  <c r="AB71" i="13"/>
  <c r="AC71" i="13" s="1"/>
  <c r="AD71" i="13" s="1"/>
  <c r="AA25" i="13"/>
  <c r="AB232" i="13"/>
  <c r="AC232" i="13" s="1"/>
  <c r="AD232" i="13" s="1"/>
  <c r="U222" i="13"/>
  <c r="W222" i="13" s="1"/>
  <c r="X222" i="13" s="1"/>
  <c r="AB220" i="13"/>
  <c r="AC220" i="13" s="1"/>
  <c r="AD220" i="13" s="1"/>
  <c r="U219" i="13"/>
  <c r="W219" i="13" s="1"/>
  <c r="X219" i="13" s="1"/>
  <c r="AB217" i="13"/>
  <c r="AC217" i="13" s="1"/>
  <c r="AD217" i="13" s="1"/>
  <c r="U203" i="13"/>
  <c r="W203" i="13" s="1"/>
  <c r="X203" i="13" s="1"/>
  <c r="AB181" i="13"/>
  <c r="AC181" i="13" s="1"/>
  <c r="AD181" i="13" s="1"/>
  <c r="U99" i="13"/>
  <c r="W99" i="13" s="1"/>
  <c r="X99" i="13" s="1"/>
  <c r="U76" i="13"/>
  <c r="W76" i="13" s="1"/>
  <c r="X76" i="13" s="1"/>
  <c r="U43" i="13"/>
  <c r="W43" i="13" s="1"/>
  <c r="X43" i="13" s="1"/>
  <c r="AA43" i="13"/>
  <c r="AA229" i="13"/>
  <c r="V226" i="13"/>
  <c r="W226" i="13" s="1"/>
  <c r="X226" i="13" s="1"/>
  <c r="AA198" i="13"/>
  <c r="U192" i="13"/>
  <c r="W192" i="13" s="1"/>
  <c r="X192" i="13" s="1"/>
  <c r="AB190" i="13"/>
  <c r="AC190" i="13" s="1"/>
  <c r="AD190" i="13" s="1"/>
  <c r="AB32" i="13"/>
  <c r="AC32" i="13" s="1"/>
  <c r="AD32" i="13" s="1"/>
  <c r="U26" i="13"/>
  <c r="W26" i="13" s="1"/>
  <c r="X26" i="13" s="1"/>
  <c r="V25" i="13"/>
  <c r="AE25" i="13" s="1"/>
  <c r="V24" i="13"/>
  <c r="AE24" i="13" s="1"/>
  <c r="AA8" i="13"/>
  <c r="AB260" i="13"/>
  <c r="AC260" i="13" s="1"/>
  <c r="AD260" i="13" s="1"/>
  <c r="AE259" i="13"/>
  <c r="V246" i="13"/>
  <c r="W246" i="13" s="1"/>
  <c r="X246" i="13" s="1"/>
  <c r="AA242" i="13"/>
  <c r="V241" i="13"/>
  <c r="W241" i="13" s="1"/>
  <c r="X241" i="13" s="1"/>
  <c r="AA233" i="13"/>
  <c r="AA225" i="13"/>
  <c r="AA207" i="13"/>
  <c r="AA199" i="13"/>
  <c r="AB186" i="13"/>
  <c r="AC186" i="13" s="1"/>
  <c r="AD186" i="13" s="1"/>
  <c r="U106" i="13"/>
  <c r="W106" i="13" s="1"/>
  <c r="U105" i="13"/>
  <c r="W105" i="13" s="1"/>
  <c r="X105" i="13" s="1"/>
  <c r="U102" i="13"/>
  <c r="W102" i="13" s="1"/>
  <c r="X102" i="13" s="1"/>
  <c r="V92" i="13"/>
  <c r="W92" i="13" s="1"/>
  <c r="X92" i="13" s="1"/>
  <c r="AA87" i="13"/>
  <c r="AA79" i="13"/>
  <c r="AA72" i="13"/>
  <c r="V68" i="13"/>
  <c r="W68" i="13" s="1"/>
  <c r="X68" i="13" s="1"/>
  <c r="V55" i="13"/>
  <c r="W55" i="13" s="1"/>
  <c r="X55" i="13" s="1"/>
  <c r="U48" i="13"/>
  <c r="W48" i="13" s="1"/>
  <c r="X48" i="13" s="1"/>
  <c r="V42" i="13"/>
  <c r="AE52" i="13"/>
  <c r="AE102" i="13"/>
  <c r="AA51" i="13"/>
  <c r="AB11" i="13"/>
  <c r="AC11" i="13" s="1"/>
  <c r="AD11" i="13" s="1"/>
  <c r="U227" i="13"/>
  <c r="W227" i="13" s="1"/>
  <c r="X227" i="13" s="1"/>
  <c r="V221" i="13"/>
  <c r="W221" i="13" s="1"/>
  <c r="X221" i="13" s="1"/>
  <c r="V217" i="13"/>
  <c r="W217" i="13" s="1"/>
  <c r="X217" i="13" s="1"/>
  <c r="AA213" i="13"/>
  <c r="AB212" i="13"/>
  <c r="AC212" i="13" s="1"/>
  <c r="AD212" i="13" s="1"/>
  <c r="V207" i="13"/>
  <c r="AE207" i="13" s="1"/>
  <c r="V202" i="13"/>
  <c r="AE202" i="13" s="1"/>
  <c r="V198" i="13"/>
  <c r="AE198" i="13" s="1"/>
  <c r="V195" i="13"/>
  <c r="AA191" i="13"/>
  <c r="V187" i="13"/>
  <c r="AA183" i="13"/>
  <c r="U175" i="13"/>
  <c r="W175" i="13" s="1"/>
  <c r="X175" i="13" s="1"/>
  <c r="AE106" i="13"/>
  <c r="AB94" i="13"/>
  <c r="AC94" i="13" s="1"/>
  <c r="AD94" i="13" s="1"/>
  <c r="V80" i="13"/>
  <c r="AE80" i="13" s="1"/>
  <c r="V69" i="13"/>
  <c r="W69" i="13" s="1"/>
  <c r="X69" i="13" s="1"/>
  <c r="AB68" i="13"/>
  <c r="V65" i="13"/>
  <c r="AE65" i="13" s="1"/>
  <c r="AA37" i="13"/>
  <c r="AB18" i="13"/>
  <c r="AC18" i="13" s="1"/>
  <c r="AD18" i="13" s="1"/>
  <c r="AB14" i="13"/>
  <c r="AC14" i="13" s="1"/>
  <c r="AD14" i="13" s="1"/>
  <c r="V7" i="13"/>
  <c r="AB262" i="13"/>
  <c r="AC262" i="13" s="1"/>
  <c r="AD262" i="13" s="1"/>
  <c r="AB252" i="13"/>
  <c r="AC252" i="13" s="1"/>
  <c r="AD252" i="13" s="1"/>
  <c r="V251" i="13"/>
  <c r="W251" i="13" s="1"/>
  <c r="X251" i="13" s="1"/>
  <c r="AB244" i="13"/>
  <c r="AC244" i="13" s="1"/>
  <c r="AD244" i="13" s="1"/>
  <c r="AB221" i="13"/>
  <c r="AC221" i="13" s="1"/>
  <c r="AD221" i="13" s="1"/>
  <c r="U209" i="13"/>
  <c r="W209" i="13" s="1"/>
  <c r="X209" i="13" s="1"/>
  <c r="V186" i="13"/>
  <c r="AA106" i="13"/>
  <c r="AB91" i="13"/>
  <c r="AC91" i="13" s="1"/>
  <c r="AD91" i="13" s="1"/>
  <c r="AA90" i="13"/>
  <c r="AA41" i="13"/>
  <c r="V17" i="13"/>
  <c r="U17" i="13"/>
  <c r="AA257" i="13"/>
  <c r="AB257" i="13"/>
  <c r="AC257" i="13" s="1"/>
  <c r="AD257" i="13" s="1"/>
  <c r="AA253" i="13"/>
  <c r="AB253" i="13"/>
  <c r="AA248" i="13"/>
  <c r="AB248" i="13"/>
  <c r="AC248" i="13" s="1"/>
  <c r="AD248" i="13" s="1"/>
  <c r="AA241" i="13"/>
  <c r="AB241" i="13"/>
  <c r="AC237" i="13"/>
  <c r="AD237" i="13" s="1"/>
  <c r="AC229" i="13"/>
  <c r="AD229" i="13" s="1"/>
  <c r="AC206" i="13"/>
  <c r="AD206" i="13" s="1"/>
  <c r="AB204" i="13"/>
  <c r="AC204" i="13" s="1"/>
  <c r="AD204" i="13" s="1"/>
  <c r="AA204" i="13"/>
  <c r="U199" i="13"/>
  <c r="W199" i="13" s="1"/>
  <c r="V199" i="13"/>
  <c r="AE199" i="13" s="1"/>
  <c r="U95" i="13"/>
  <c r="V95" i="13"/>
  <c r="U28" i="13"/>
  <c r="V28" i="13"/>
  <c r="AE28" i="13" s="1"/>
  <c r="AA245" i="13"/>
  <c r="AB245" i="13"/>
  <c r="U179" i="13"/>
  <c r="V179" i="13"/>
  <c r="V90" i="13"/>
  <c r="AE90" i="13" s="1"/>
  <c r="U90" i="13"/>
  <c r="AB76" i="13"/>
  <c r="AA76" i="13"/>
  <c r="AB48" i="13"/>
  <c r="AA48" i="13"/>
  <c r="V44" i="13"/>
  <c r="U44" i="13"/>
  <c r="AA38" i="13"/>
  <c r="AB38" i="13"/>
  <c r="V35" i="13"/>
  <c r="AE35" i="13" s="1"/>
  <c r="V33" i="13"/>
  <c r="W33" i="13" s="1"/>
  <c r="X33" i="13" s="1"/>
  <c r="V30" i="13"/>
  <c r="AE30" i="13" s="1"/>
  <c r="AA28" i="13"/>
  <c r="AB19" i="13"/>
  <c r="U12" i="13"/>
  <c r="W12" i="13" s="1"/>
  <c r="X12" i="13" s="1"/>
  <c r="U259" i="13"/>
  <c r="W259" i="13" s="1"/>
  <c r="X259" i="13" s="1"/>
  <c r="U258" i="13"/>
  <c r="W258" i="13" s="1"/>
  <c r="X258" i="13" s="1"/>
  <c r="U254" i="13"/>
  <c r="V254" i="13"/>
  <c r="U253" i="13"/>
  <c r="V253" i="13"/>
  <c r="AA250" i="13"/>
  <c r="AA249" i="13"/>
  <c r="AB249" i="13"/>
  <c r="AC249" i="13" s="1"/>
  <c r="AD249" i="13" s="1"/>
  <c r="U242" i="13"/>
  <c r="W242" i="13" s="1"/>
  <c r="V235" i="13"/>
  <c r="U235" i="13"/>
  <c r="U230" i="13"/>
  <c r="W230" i="13" s="1"/>
  <c r="X230" i="13" s="1"/>
  <c r="AB226" i="13"/>
  <c r="AC226" i="13" s="1"/>
  <c r="AD226" i="13" s="1"/>
  <c r="AA226" i="13"/>
  <c r="AC213" i="13"/>
  <c r="AD213" i="13" s="1"/>
  <c r="V211" i="13"/>
  <c r="W211" i="13" s="1"/>
  <c r="X211" i="13" s="1"/>
  <c r="AA203" i="13"/>
  <c r="AB203" i="13"/>
  <c r="AC203" i="13" s="1"/>
  <c r="AD203" i="13" s="1"/>
  <c r="V194" i="13"/>
  <c r="AC191" i="13"/>
  <c r="AD191" i="13" s="1"/>
  <c r="U182" i="13"/>
  <c r="V182" i="13"/>
  <c r="AA177" i="13"/>
  <c r="AB177" i="13"/>
  <c r="AC177" i="13" s="1"/>
  <c r="AD177" i="13" s="1"/>
  <c r="AC99" i="13"/>
  <c r="AD99" i="13" s="1"/>
  <c r="AE99" i="13"/>
  <c r="V93" i="13"/>
  <c r="U93" i="13"/>
  <c r="AA82" i="13"/>
  <c r="AB82" i="13"/>
  <c r="AC82" i="13" s="1"/>
  <c r="AD82" i="13" s="1"/>
  <c r="V79" i="13"/>
  <c r="AE79" i="13" s="1"/>
  <c r="V74" i="13"/>
  <c r="U74" i="13"/>
  <c r="AA55" i="13"/>
  <c r="AB55" i="13"/>
  <c r="AC55" i="13" s="1"/>
  <c r="AD55" i="13" s="1"/>
  <c r="AC51" i="13"/>
  <c r="AD51" i="13" s="1"/>
  <c r="U250" i="13"/>
  <c r="V250" i="13"/>
  <c r="AE250" i="13" s="1"/>
  <c r="U225" i="13"/>
  <c r="V225" i="13"/>
  <c r="AE225" i="13" s="1"/>
  <c r="AA210" i="13"/>
  <c r="AB210" i="13"/>
  <c r="AC210" i="13" s="1"/>
  <c r="AD210" i="13" s="1"/>
  <c r="AB98" i="13"/>
  <c r="AC98" i="13" s="1"/>
  <c r="AD98" i="13" s="1"/>
  <c r="AA98" i="13"/>
  <c r="AC84" i="13"/>
  <c r="AD84" i="13" s="1"/>
  <c r="AA50" i="13"/>
  <c r="AB50" i="13"/>
  <c r="AC50" i="13" s="1"/>
  <c r="AD50" i="13" s="1"/>
  <c r="AB255" i="13"/>
  <c r="AC255" i="13" s="1"/>
  <c r="AD255" i="13" s="1"/>
  <c r="AA255" i="13"/>
  <c r="V252" i="13"/>
  <c r="U252" i="13"/>
  <c r="U238" i="13"/>
  <c r="V238" i="13"/>
  <c r="U237" i="13"/>
  <c r="W237" i="13" s="1"/>
  <c r="X237" i="13" s="1"/>
  <c r="V237" i="13"/>
  <c r="AE237" i="13" s="1"/>
  <c r="AA228" i="13"/>
  <c r="AB228" i="13"/>
  <c r="AC228" i="13" s="1"/>
  <c r="AD228" i="13" s="1"/>
  <c r="U218" i="13"/>
  <c r="V218" i="13"/>
  <c r="AE218" i="13" s="1"/>
  <c r="V176" i="13"/>
  <c r="U176" i="13"/>
  <c r="U96" i="13"/>
  <c r="V96" i="13"/>
  <c r="V37" i="13"/>
  <c r="W37" i="13" s="1"/>
  <c r="X37" i="13" s="1"/>
  <c r="AA34" i="13"/>
  <c r="U21" i="13"/>
  <c r="AB16" i="13"/>
  <c r="AA16" i="13"/>
  <c r="V11" i="13"/>
  <c r="W11" i="13" s="1"/>
  <c r="X11" i="13" s="1"/>
  <c r="U8" i="13"/>
  <c r="V8" i="13"/>
  <c r="AE8" i="13" s="1"/>
  <c r="V261" i="13"/>
  <c r="U260" i="13"/>
  <c r="W260" i="13" s="1"/>
  <c r="X260" i="13" s="1"/>
  <c r="AB251" i="13"/>
  <c r="AC251" i="13" s="1"/>
  <c r="AD251" i="13" s="1"/>
  <c r="AA251" i="13"/>
  <c r="AB240" i="13"/>
  <c r="AC240" i="13" s="1"/>
  <c r="AD240" i="13" s="1"/>
  <c r="AA237" i="13"/>
  <c r="V229" i="13"/>
  <c r="AE229" i="13" s="1"/>
  <c r="AA218" i="13"/>
  <c r="V214" i="13"/>
  <c r="U212" i="13"/>
  <c r="V212" i="13"/>
  <c r="AA206" i="13"/>
  <c r="U190" i="13"/>
  <c r="V190" i="13"/>
  <c r="V183" i="13"/>
  <c r="AE183" i="13" s="1"/>
  <c r="U183" i="13"/>
  <c r="AB178" i="13"/>
  <c r="AA178" i="13"/>
  <c r="V174" i="13"/>
  <c r="W174" i="13" s="1"/>
  <c r="X174" i="13" s="1"/>
  <c r="AA92" i="13"/>
  <c r="AB92" i="13"/>
  <c r="AC92" i="13" s="1"/>
  <c r="AD92" i="13" s="1"/>
  <c r="AA84" i="13"/>
  <c r="AA63" i="13"/>
  <c r="AB63" i="13"/>
  <c r="AC63" i="13" s="1"/>
  <c r="AD63" i="13" s="1"/>
  <c r="AA56" i="13"/>
  <c r="V15" i="13"/>
  <c r="W15" i="13" s="1"/>
  <c r="X15" i="13" s="1"/>
  <c r="AB10" i="13"/>
  <c r="AC10" i="13" s="1"/>
  <c r="AD10" i="13" s="1"/>
  <c r="U9" i="13"/>
  <c r="W9" i="13" s="1"/>
  <c r="X9" i="13" s="1"/>
  <c r="AA259" i="13"/>
  <c r="V257" i="13"/>
  <c r="W257" i="13" s="1"/>
  <c r="X257" i="13" s="1"/>
  <c r="V245" i="13"/>
  <c r="W245" i="13" s="1"/>
  <c r="X245" i="13" s="1"/>
  <c r="U243" i="13"/>
  <c r="W243" i="13" s="1"/>
  <c r="X243" i="13" s="1"/>
  <c r="AB236" i="13"/>
  <c r="AC236" i="13" s="1"/>
  <c r="AD236" i="13" s="1"/>
  <c r="V233" i="13"/>
  <c r="AE233" i="13" s="1"/>
  <c r="AB224" i="13"/>
  <c r="AC224" i="13" s="1"/>
  <c r="AD224" i="13" s="1"/>
  <c r="AB216" i="13"/>
  <c r="AC216" i="13" s="1"/>
  <c r="AD216" i="13" s="1"/>
  <c r="AA211" i="13"/>
  <c r="U206" i="13"/>
  <c r="V206" i="13"/>
  <c r="AE206" i="13" s="1"/>
  <c r="U204" i="13"/>
  <c r="W204" i="13" s="1"/>
  <c r="X204" i="13" s="1"/>
  <c r="U200" i="13"/>
  <c r="W200" i="13" s="1"/>
  <c r="X200" i="13" s="1"/>
  <c r="AA193" i="13"/>
  <c r="AB193" i="13"/>
  <c r="AC193" i="13" s="1"/>
  <c r="AD193" i="13" s="1"/>
  <c r="V191" i="13"/>
  <c r="AE191" i="13" s="1"/>
  <c r="AA189" i="13"/>
  <c r="AB189" i="13"/>
  <c r="AC189" i="13" s="1"/>
  <c r="AD189" i="13" s="1"/>
  <c r="U184" i="13"/>
  <c r="W184" i="13" s="1"/>
  <c r="X184" i="13" s="1"/>
  <c r="AC183" i="13"/>
  <c r="AD183" i="13" s="1"/>
  <c r="U178" i="13"/>
  <c r="V178" i="13"/>
  <c r="AA175" i="13"/>
  <c r="AB174" i="13"/>
  <c r="AC174" i="13" s="1"/>
  <c r="AD174" i="13" s="1"/>
  <c r="AB173" i="13"/>
  <c r="AC173" i="13" s="1"/>
  <c r="AD173" i="13" s="1"/>
  <c r="AA104" i="13"/>
  <c r="U88" i="13"/>
  <c r="W88" i="13" s="1"/>
  <c r="X88" i="13" s="1"/>
  <c r="U84" i="13"/>
  <c r="V84" i="13"/>
  <c r="AE84" i="13" s="1"/>
  <c r="V83" i="13"/>
  <c r="W83" i="13" s="1"/>
  <c r="X83" i="13" s="1"/>
  <c r="V77" i="13"/>
  <c r="U77" i="13"/>
  <c r="U72" i="13"/>
  <c r="V72" i="13"/>
  <c r="AE72" i="13" s="1"/>
  <c r="V64" i="13"/>
  <c r="AE64" i="13" s="1"/>
  <c r="U56" i="13"/>
  <c r="V56" i="13"/>
  <c r="AE56" i="13" s="1"/>
  <c r="U52" i="13"/>
  <c r="W52" i="13" s="1"/>
  <c r="U51" i="13"/>
  <c r="V51" i="13"/>
  <c r="AE51" i="13" s="1"/>
  <c r="AA45" i="13"/>
  <c r="AB45" i="13"/>
  <c r="AC45" i="13" s="1"/>
  <c r="AD45" i="13" s="1"/>
  <c r="AA42" i="13"/>
  <c r="AB42" i="13"/>
  <c r="AC42" i="13" s="1"/>
  <c r="AD42" i="13" s="1"/>
  <c r="U213" i="13"/>
  <c r="V213" i="13"/>
  <c r="AE213" i="13" s="1"/>
  <c r="AC211" i="13"/>
  <c r="AD211" i="13" s="1"/>
  <c r="AA201" i="13"/>
  <c r="AB201" i="13"/>
  <c r="AC201" i="13" s="1"/>
  <c r="AD201" i="13" s="1"/>
  <c r="AC175" i="13"/>
  <c r="AD175" i="13" s="1"/>
  <c r="AE175" i="13"/>
  <c r="AA95" i="13"/>
  <c r="AB95" i="13"/>
  <c r="AA86" i="13"/>
  <c r="AB86" i="13"/>
  <c r="AC86" i="13" s="1"/>
  <c r="AD86" i="13" s="1"/>
  <c r="U75" i="13"/>
  <c r="AB73" i="13"/>
  <c r="AA73" i="13"/>
  <c r="AC64" i="13"/>
  <c r="AA54" i="13"/>
  <c r="AB54" i="13"/>
  <c r="AC54" i="13" s="1"/>
  <c r="AD54" i="13" s="1"/>
  <c r="V49" i="13"/>
  <c r="U49" i="13"/>
  <c r="U39" i="13"/>
  <c r="V39" i="13"/>
  <c r="W42" i="13"/>
  <c r="X42" i="13" s="1"/>
  <c r="V38" i="13"/>
  <c r="W38" i="13" s="1"/>
  <c r="X38" i="13" s="1"/>
  <c r="AB214" i="13"/>
  <c r="AA214" i="13"/>
  <c r="AB263" i="13"/>
  <c r="AA263" i="13"/>
  <c r="AA256" i="13"/>
  <c r="AB256" i="13"/>
  <c r="AB238" i="13"/>
  <c r="AA238" i="13"/>
  <c r="AC233" i="13"/>
  <c r="AD233" i="13" s="1"/>
  <c r="V231" i="13"/>
  <c r="U231" i="13"/>
  <c r="U263" i="13"/>
  <c r="W263" i="13" s="1"/>
  <c r="X263" i="13" s="1"/>
  <c r="V263" i="13"/>
  <c r="V256" i="13"/>
  <c r="U256" i="13"/>
  <c r="AB254" i="13"/>
  <c r="AA254" i="13"/>
  <c r="AC250" i="13"/>
  <c r="AD250" i="13" s="1"/>
  <c r="AB230" i="13"/>
  <c r="AA230" i="13"/>
  <c r="AC225" i="13"/>
  <c r="AD225" i="13" s="1"/>
  <c r="V223" i="13"/>
  <c r="U223" i="13"/>
  <c r="AB246" i="13"/>
  <c r="AA246" i="13"/>
  <c r="V239" i="13"/>
  <c r="U239" i="13"/>
  <c r="U249" i="13"/>
  <c r="V249" i="13"/>
  <c r="V247" i="13"/>
  <c r="U247" i="13"/>
  <c r="AB222" i="13"/>
  <c r="AA222" i="13"/>
  <c r="V215" i="13"/>
  <c r="U215" i="13"/>
  <c r="U189" i="13"/>
  <c r="W189" i="13" s="1"/>
  <c r="X189" i="13" s="1"/>
  <c r="V189" i="13"/>
  <c r="V94" i="13"/>
  <c r="U94" i="13"/>
  <c r="AA247" i="13"/>
  <c r="AB247" i="13"/>
  <c r="AA239" i="13"/>
  <c r="AB239" i="13"/>
  <c r="AA231" i="13"/>
  <c r="AB231" i="13"/>
  <c r="U224" i="13"/>
  <c r="V224" i="13"/>
  <c r="AA215" i="13"/>
  <c r="AB215" i="13"/>
  <c r="U210" i="13"/>
  <c r="V210" i="13"/>
  <c r="AA105" i="13"/>
  <c r="AB105" i="13"/>
  <c r="V70" i="13"/>
  <c r="U70" i="13"/>
  <c r="AE258" i="13"/>
  <c r="U244" i="13"/>
  <c r="V244" i="13"/>
  <c r="AA243" i="13"/>
  <c r="AB243" i="13"/>
  <c r="AE242" i="13"/>
  <c r="U236" i="13"/>
  <c r="W236" i="13" s="1"/>
  <c r="X236" i="13" s="1"/>
  <c r="V236" i="13"/>
  <c r="AA235" i="13"/>
  <c r="AB235" i="13"/>
  <c r="U228" i="13"/>
  <c r="V228" i="13"/>
  <c r="AA227" i="13"/>
  <c r="AB227" i="13"/>
  <c r="U220" i="13"/>
  <c r="V220" i="13"/>
  <c r="AA219" i="13"/>
  <c r="AB219" i="13"/>
  <c r="AB208" i="13"/>
  <c r="AA208" i="13"/>
  <c r="AC207" i="13"/>
  <c r="AD207" i="13" s="1"/>
  <c r="U197" i="13"/>
  <c r="V197" i="13"/>
  <c r="V188" i="13"/>
  <c r="U188" i="13"/>
  <c r="AA180" i="13"/>
  <c r="AB180" i="13"/>
  <c r="AB103" i="13"/>
  <c r="V97" i="13"/>
  <c r="U97" i="13"/>
  <c r="V40" i="13"/>
  <c r="U40" i="13"/>
  <c r="AB195" i="13"/>
  <c r="AA195" i="13"/>
  <c r="V180" i="13"/>
  <c r="U180" i="13"/>
  <c r="W180" i="13" s="1"/>
  <c r="X180" i="13" s="1"/>
  <c r="V91" i="13"/>
  <c r="U91" i="13"/>
  <c r="U248" i="13"/>
  <c r="V248" i="13"/>
  <c r="U240" i="13"/>
  <c r="V240" i="13"/>
  <c r="U232" i="13"/>
  <c r="V232" i="13"/>
  <c r="AA223" i="13"/>
  <c r="AB223" i="13"/>
  <c r="U216" i="13"/>
  <c r="V216" i="13"/>
  <c r="U208" i="13"/>
  <c r="V208" i="13"/>
  <c r="AA196" i="13"/>
  <c r="AB196" i="13"/>
  <c r="AB187" i="13"/>
  <c r="AA187" i="13"/>
  <c r="U181" i="13"/>
  <c r="V181" i="13"/>
  <c r="V98" i="13"/>
  <c r="U98" i="13"/>
  <c r="U78" i="13"/>
  <c r="V78" i="13"/>
  <c r="AC198" i="13"/>
  <c r="AD198" i="13" s="1"/>
  <c r="V196" i="13"/>
  <c r="U196" i="13"/>
  <c r="AA188" i="13"/>
  <c r="AB188" i="13"/>
  <c r="AB179" i="13"/>
  <c r="AA179" i="13"/>
  <c r="U173" i="13"/>
  <c r="V173" i="13"/>
  <c r="AC104" i="13"/>
  <c r="AD104" i="13" s="1"/>
  <c r="AA85" i="13"/>
  <c r="AC72" i="13"/>
  <c r="AD72" i="13" s="1"/>
  <c r="AB205" i="13"/>
  <c r="U205" i="13"/>
  <c r="W205" i="13" s="1"/>
  <c r="X205" i="13" s="1"/>
  <c r="U103" i="13"/>
  <c r="W103" i="13" s="1"/>
  <c r="X103" i="13" s="1"/>
  <c r="AB96" i="13"/>
  <c r="AA96" i="13"/>
  <c r="AB93" i="13"/>
  <c r="AA93" i="13"/>
  <c r="AB88" i="13"/>
  <c r="AA88" i="13"/>
  <c r="U81" i="13"/>
  <c r="W81" i="13" s="1"/>
  <c r="X81" i="13" s="1"/>
  <c r="U201" i="13"/>
  <c r="V201" i="13"/>
  <c r="AA200" i="13"/>
  <c r="AB200" i="13"/>
  <c r="U193" i="13"/>
  <c r="V193" i="13"/>
  <c r="AA192" i="13"/>
  <c r="AB192" i="13"/>
  <c r="U185" i="13"/>
  <c r="V185" i="13"/>
  <c r="AA184" i="13"/>
  <c r="AB184" i="13"/>
  <c r="U177" i="13"/>
  <c r="V177" i="13"/>
  <c r="AA176" i="13"/>
  <c r="AB176" i="13"/>
  <c r="AB97" i="13"/>
  <c r="AA97" i="13"/>
  <c r="AA53" i="13"/>
  <c r="AB53" i="13"/>
  <c r="V104" i="13"/>
  <c r="W104" i="13" s="1"/>
  <c r="X104" i="13" s="1"/>
  <c r="AA102" i="13"/>
  <c r="U87" i="13"/>
  <c r="V87" i="13"/>
  <c r="AE87" i="13" s="1"/>
  <c r="U86" i="13"/>
  <c r="V86" i="13"/>
  <c r="AA80" i="13"/>
  <c r="U71" i="13"/>
  <c r="V71" i="13"/>
  <c r="AC80" i="13"/>
  <c r="AD80" i="13" s="1"/>
  <c r="AA77" i="13"/>
  <c r="AB77" i="13"/>
  <c r="AA66" i="13"/>
  <c r="AB66" i="13"/>
  <c r="V62" i="13"/>
  <c r="U62" i="13"/>
  <c r="AA40" i="13"/>
  <c r="AB40" i="13"/>
  <c r="AA70" i="13"/>
  <c r="AB70" i="13"/>
  <c r="U67" i="13"/>
  <c r="V67" i="13"/>
  <c r="AE67" i="13" s="1"/>
  <c r="U54" i="13"/>
  <c r="V54" i="13"/>
  <c r="AC43" i="13"/>
  <c r="AD43" i="13" s="1"/>
  <c r="AE43" i="13"/>
  <c r="AB39" i="13"/>
  <c r="AA39" i="13"/>
  <c r="U82" i="13"/>
  <c r="V82" i="13"/>
  <c r="AA81" i="13"/>
  <c r="AB81" i="13"/>
  <c r="AB69" i="13"/>
  <c r="AA69" i="13"/>
  <c r="AC56" i="13"/>
  <c r="AD56" i="13" s="1"/>
  <c r="AC41" i="13"/>
  <c r="AD41" i="13" s="1"/>
  <c r="U41" i="13"/>
  <c r="V41" i="13"/>
  <c r="AE41" i="13" s="1"/>
  <c r="U66" i="13"/>
  <c r="W66" i="13" s="1"/>
  <c r="X66" i="13" s="1"/>
  <c r="AA65" i="13"/>
  <c r="U63" i="13"/>
  <c r="V63" i="13"/>
  <c r="AA62" i="13"/>
  <c r="AB62" i="13"/>
  <c r="U53" i="13"/>
  <c r="W53" i="13" s="1"/>
  <c r="X53" i="13" s="1"/>
  <c r="AA52" i="13"/>
  <c r="U45" i="13"/>
  <c r="V45" i="13"/>
  <c r="AA44" i="13"/>
  <c r="AB44" i="13"/>
  <c r="AA74" i="13"/>
  <c r="AB74" i="13"/>
  <c r="U50" i="13"/>
  <c r="V50" i="13"/>
  <c r="AA49" i="13"/>
  <c r="AB49" i="13"/>
  <c r="AA9" i="13"/>
  <c r="AB9" i="13"/>
  <c r="U32" i="13"/>
  <c r="W32" i="13" s="1"/>
  <c r="X32" i="13" s="1"/>
  <c r="V32" i="13"/>
  <c r="AA31" i="13"/>
  <c r="AB31" i="13"/>
  <c r="AA22" i="13"/>
  <c r="AB22" i="13"/>
  <c r="AA13" i="13"/>
  <c r="AB13" i="13"/>
  <c r="W30" i="13"/>
  <c r="X30" i="13" s="1"/>
  <c r="U10" i="13"/>
  <c r="V10" i="13"/>
  <c r="U23" i="13"/>
  <c r="V23" i="13"/>
  <c r="U14" i="13"/>
  <c r="V14" i="13"/>
  <c r="AE12" i="13"/>
  <c r="AB36" i="13"/>
  <c r="U36" i="13"/>
  <c r="W36" i="13" s="1"/>
  <c r="X36" i="13" s="1"/>
  <c r="U31" i="13"/>
  <c r="W31" i="13" s="1"/>
  <c r="X31" i="13" s="1"/>
  <c r="AA30" i="13"/>
  <c r="U27" i="13"/>
  <c r="AA26" i="13"/>
  <c r="AB26" i="13"/>
  <c r="U22" i="13"/>
  <c r="W22" i="13" s="1"/>
  <c r="X22" i="13" s="1"/>
  <c r="AA21" i="13"/>
  <c r="U18" i="13"/>
  <c r="V18" i="13"/>
  <c r="AA17" i="13"/>
  <c r="AB17" i="13"/>
  <c r="U13" i="13"/>
  <c r="W13" i="13" s="1"/>
  <c r="X13" i="13" s="1"/>
  <c r="AA12" i="13"/>
  <c r="E94" i="13"/>
  <c r="D94" i="13"/>
  <c r="C94" i="13"/>
  <c r="B94" i="13"/>
  <c r="K94" i="13"/>
  <c r="P94" i="13"/>
  <c r="K103" i="13"/>
  <c r="AF52" i="13" l="1"/>
  <c r="X52" i="13"/>
  <c r="AF199" i="13"/>
  <c r="X199" i="13"/>
  <c r="AF242" i="13"/>
  <c r="X242" i="13"/>
  <c r="AF64" i="13"/>
  <c r="AD64" i="13"/>
  <c r="AF106" i="13"/>
  <c r="X106" i="13"/>
  <c r="W34" i="13"/>
  <c r="W8" i="13"/>
  <c r="W78" i="13"/>
  <c r="X78" i="13" s="1"/>
  <c r="W67" i="13"/>
  <c r="X67" i="13" s="1"/>
  <c r="W79" i="13"/>
  <c r="W24" i="13"/>
  <c r="AE244" i="13"/>
  <c r="W80" i="13"/>
  <c r="W40" i="13"/>
  <c r="X40" i="13" s="1"/>
  <c r="AE248" i="13"/>
  <c r="AE45" i="13"/>
  <c r="AF33" i="13"/>
  <c r="AE185" i="13"/>
  <c r="W198" i="13"/>
  <c r="AE228" i="13"/>
  <c r="W233" i="13"/>
  <c r="W65" i="13"/>
  <c r="AE83" i="13"/>
  <c r="AE189" i="13"/>
  <c r="AE190" i="13"/>
  <c r="W207" i="13"/>
  <c r="AC209" i="13"/>
  <c r="W35" i="13"/>
  <c r="AE232" i="13"/>
  <c r="AE7" i="13"/>
  <c r="AE50" i="13"/>
  <c r="AE23" i="13"/>
  <c r="W49" i="13"/>
  <c r="X49" i="13" s="1"/>
  <c r="W252" i="13"/>
  <c r="AE98" i="13"/>
  <c r="W193" i="13"/>
  <c r="W216" i="13"/>
  <c r="W231" i="13"/>
  <c r="X231" i="13" s="1"/>
  <c r="W238" i="13"/>
  <c r="X238" i="13" s="1"/>
  <c r="W74" i="13"/>
  <c r="X74" i="13" s="1"/>
  <c r="W183" i="13"/>
  <c r="AE212" i="13"/>
  <c r="AE182" i="13"/>
  <c r="AE18" i="13"/>
  <c r="W97" i="13"/>
  <c r="X97" i="13" s="1"/>
  <c r="W39" i="13"/>
  <c r="X39" i="13" s="1"/>
  <c r="W84" i="13"/>
  <c r="W190" i="13"/>
  <c r="W176" i="13"/>
  <c r="X176" i="13" s="1"/>
  <c r="W90" i="13"/>
  <c r="W17" i="13"/>
  <c r="X17" i="13" s="1"/>
  <c r="AF221" i="13"/>
  <c r="AF226" i="13"/>
  <c r="AE197" i="13"/>
  <c r="W206" i="13"/>
  <c r="W225" i="13"/>
  <c r="W253" i="13"/>
  <c r="X253" i="13" s="1"/>
  <c r="W202" i="13"/>
  <c r="W25" i="13"/>
  <c r="AE33" i="13"/>
  <c r="AE224" i="13"/>
  <c r="W212" i="13"/>
  <c r="W96" i="13"/>
  <c r="X96" i="13" s="1"/>
  <c r="W229" i="13"/>
  <c r="W235" i="13"/>
  <c r="X235" i="13" s="1"/>
  <c r="W7" i="13"/>
  <c r="AE211" i="13"/>
  <c r="AE54" i="13"/>
  <c r="AE201" i="13"/>
  <c r="AE241" i="13"/>
  <c r="AE217" i="13"/>
  <c r="AE220" i="13"/>
  <c r="AE221" i="13"/>
  <c r="AE181" i="13"/>
  <c r="AE78" i="13"/>
  <c r="AE203" i="13"/>
  <c r="AF32" i="13"/>
  <c r="AF175" i="13"/>
  <c r="AE252" i="13"/>
  <c r="AE63" i="13"/>
  <c r="AE71" i="13"/>
  <c r="AE262" i="13"/>
  <c r="AE261" i="13"/>
  <c r="AE194" i="13"/>
  <c r="AE226" i="13"/>
  <c r="AE193" i="13"/>
  <c r="AE174" i="13"/>
  <c r="AE10" i="13"/>
  <c r="AE177" i="13"/>
  <c r="AE240" i="13"/>
  <c r="AE210" i="13"/>
  <c r="AE14" i="13"/>
  <c r="AE173" i="13"/>
  <c r="AE94" i="13"/>
  <c r="AE186" i="13"/>
  <c r="AE86" i="13"/>
  <c r="AE91" i="13"/>
  <c r="AC241" i="13"/>
  <c r="AE260" i="13"/>
  <c r="AF42" i="13"/>
  <c r="AE37" i="13"/>
  <c r="AE32" i="13"/>
  <c r="AE55" i="13"/>
  <c r="AE92" i="13"/>
  <c r="AE251" i="13"/>
  <c r="AE11" i="13"/>
  <c r="AC68" i="13"/>
  <c r="AE68" i="13"/>
  <c r="AF99" i="13"/>
  <c r="W179" i="13"/>
  <c r="X179" i="13" s="1"/>
  <c r="AF204" i="13"/>
  <c r="AF15" i="13"/>
  <c r="AF37" i="13"/>
  <c r="AF12" i="13"/>
  <c r="AE249" i="13"/>
  <c r="AE257" i="13"/>
  <c r="AC95" i="13"/>
  <c r="AD95" i="13" s="1"/>
  <c r="AE95" i="13"/>
  <c r="W191" i="13"/>
  <c r="AF211" i="13"/>
  <c r="AC178" i="13"/>
  <c r="AD178" i="13" s="1"/>
  <c r="AE178" i="13"/>
  <c r="W218" i="13"/>
  <c r="X218" i="13" s="1"/>
  <c r="AF11" i="13"/>
  <c r="AC38" i="13"/>
  <c r="AD38" i="13" s="1"/>
  <c r="AE38" i="13"/>
  <c r="AC76" i="13"/>
  <c r="AD76" i="13" s="1"/>
  <c r="AE76" i="13"/>
  <c r="W95" i="13"/>
  <c r="X95" i="13" s="1"/>
  <c r="AE253" i="13"/>
  <c r="AC253" i="13"/>
  <c r="AD253" i="13" s="1"/>
  <c r="AE15" i="13"/>
  <c r="W18" i="13"/>
  <c r="W10" i="13"/>
  <c r="X10" i="13" s="1"/>
  <c r="AE42" i="13"/>
  <c r="W63" i="13"/>
  <c r="W41" i="13"/>
  <c r="X41" i="13" s="1"/>
  <c r="AE82" i="13"/>
  <c r="AE104" i="13"/>
  <c r="W196" i="13"/>
  <c r="X196" i="13" s="1"/>
  <c r="W188" i="13"/>
  <c r="X188" i="13" s="1"/>
  <c r="AE216" i="13"/>
  <c r="W51" i="13"/>
  <c r="X51" i="13" s="1"/>
  <c r="W72" i="13"/>
  <c r="X72" i="13" s="1"/>
  <c r="W178" i="13"/>
  <c r="X178" i="13" s="1"/>
  <c r="W194" i="13"/>
  <c r="W250" i="13"/>
  <c r="AF55" i="13"/>
  <c r="W182" i="13"/>
  <c r="W254" i="13"/>
  <c r="X254" i="13" s="1"/>
  <c r="AC19" i="13"/>
  <c r="AD19" i="13" s="1"/>
  <c r="AE19" i="13"/>
  <c r="AC48" i="13"/>
  <c r="AD48" i="13" s="1"/>
  <c r="AE48" i="13"/>
  <c r="AF260" i="13"/>
  <c r="W28" i="13"/>
  <c r="X28" i="13" s="1"/>
  <c r="AC245" i="13"/>
  <c r="AD245" i="13" s="1"/>
  <c r="AE245" i="13"/>
  <c r="W14" i="13"/>
  <c r="W87" i="13"/>
  <c r="W56" i="13"/>
  <c r="X56" i="13" s="1"/>
  <c r="AC16" i="13"/>
  <c r="AD16" i="13" s="1"/>
  <c r="AE16" i="13"/>
  <c r="W62" i="13"/>
  <c r="X62" i="13" s="1"/>
  <c r="AF67" i="13"/>
  <c r="W91" i="13"/>
  <c r="AF189" i="13"/>
  <c r="AF102" i="13"/>
  <c r="AE204" i="13"/>
  <c r="AE236" i="13"/>
  <c r="W239" i="13"/>
  <c r="X239" i="13" s="1"/>
  <c r="W223" i="13"/>
  <c r="X223" i="13" s="1"/>
  <c r="AF258" i="13"/>
  <c r="AC73" i="13"/>
  <c r="AD73" i="13" s="1"/>
  <c r="AE73" i="13"/>
  <c r="W213" i="13"/>
  <c r="W77" i="13"/>
  <c r="X77" i="13" s="1"/>
  <c r="AF186" i="13"/>
  <c r="W261" i="13"/>
  <c r="X261" i="13" s="1"/>
  <c r="W93" i="13"/>
  <c r="X93" i="13" s="1"/>
  <c r="AE255" i="13"/>
  <c r="W44" i="13"/>
  <c r="X44" i="13" s="1"/>
  <c r="AF237" i="13"/>
  <c r="AE44" i="13"/>
  <c r="AC44" i="13"/>
  <c r="AD44" i="13" s="1"/>
  <c r="AF92" i="13"/>
  <c r="AE93" i="13"/>
  <c r="AC93" i="13"/>
  <c r="AD93" i="13" s="1"/>
  <c r="AE188" i="13"/>
  <c r="AC188" i="13"/>
  <c r="AD188" i="13" s="1"/>
  <c r="AF174" i="13"/>
  <c r="AE243" i="13"/>
  <c r="AC243" i="13"/>
  <c r="AD243" i="13" s="1"/>
  <c r="AC230" i="13"/>
  <c r="AD230" i="13" s="1"/>
  <c r="AE230" i="13"/>
  <c r="AC263" i="13"/>
  <c r="AD263" i="13" s="1"/>
  <c r="AE263" i="13"/>
  <c r="AF83" i="13"/>
  <c r="W201" i="13"/>
  <c r="X201" i="13" s="1"/>
  <c r="W248" i="13"/>
  <c r="X248" i="13" s="1"/>
  <c r="AC208" i="13"/>
  <c r="AD208" i="13" s="1"/>
  <c r="AE208" i="13"/>
  <c r="W50" i="13"/>
  <c r="X50" i="13" s="1"/>
  <c r="AC69" i="13"/>
  <c r="AD69" i="13" s="1"/>
  <c r="AE69" i="13"/>
  <c r="AF78" i="13"/>
  <c r="AE49" i="13"/>
  <c r="AC49" i="13"/>
  <c r="AD49" i="13" s="1"/>
  <c r="AC74" i="13"/>
  <c r="AD74" i="13" s="1"/>
  <c r="AE74" i="13"/>
  <c r="W45" i="13"/>
  <c r="X45" i="13" s="1"/>
  <c r="W82" i="13"/>
  <c r="X82" i="13" s="1"/>
  <c r="AC39" i="13"/>
  <c r="AD39" i="13" s="1"/>
  <c r="AE39" i="13"/>
  <c r="AE70" i="13"/>
  <c r="AC70" i="13"/>
  <c r="AD70" i="13" s="1"/>
  <c r="W71" i="13"/>
  <c r="X71" i="13" s="1"/>
  <c r="AE97" i="13"/>
  <c r="AC97" i="13"/>
  <c r="AD97" i="13" s="1"/>
  <c r="AE176" i="13"/>
  <c r="AC176" i="13"/>
  <c r="AD176" i="13" s="1"/>
  <c r="W185" i="13"/>
  <c r="X185" i="13" s="1"/>
  <c r="AC96" i="13"/>
  <c r="AD96" i="13" s="1"/>
  <c r="AE96" i="13"/>
  <c r="AE205" i="13"/>
  <c r="AC205" i="13"/>
  <c r="AD205" i="13" s="1"/>
  <c r="AF104" i="13"/>
  <c r="W98" i="13"/>
  <c r="X98" i="13" s="1"/>
  <c r="AE196" i="13"/>
  <c r="AC196" i="13"/>
  <c r="AD196" i="13" s="1"/>
  <c r="W240" i="13"/>
  <c r="X240" i="13" s="1"/>
  <c r="AE180" i="13"/>
  <c r="AC180" i="13"/>
  <c r="AD180" i="13" s="1"/>
  <c r="W197" i="13"/>
  <c r="X197" i="13" s="1"/>
  <c r="W228" i="13"/>
  <c r="X228" i="13" s="1"/>
  <c r="W244" i="13"/>
  <c r="X244" i="13" s="1"/>
  <c r="W70" i="13"/>
  <c r="X70" i="13" s="1"/>
  <c r="AE215" i="13"/>
  <c r="AC215" i="13"/>
  <c r="AD215" i="13" s="1"/>
  <c r="W224" i="13"/>
  <c r="X224" i="13" s="1"/>
  <c r="AE239" i="13"/>
  <c r="AC239" i="13"/>
  <c r="AD239" i="13" s="1"/>
  <c r="W94" i="13"/>
  <c r="W215" i="13"/>
  <c r="X215" i="13" s="1"/>
  <c r="W247" i="13"/>
  <c r="X247" i="13" s="1"/>
  <c r="AF255" i="13"/>
  <c r="W256" i="13"/>
  <c r="X256" i="13" s="1"/>
  <c r="AC214" i="13"/>
  <c r="AD214" i="13" s="1"/>
  <c r="AE214" i="13"/>
  <c r="AE81" i="13"/>
  <c r="AC81" i="13"/>
  <c r="AD81" i="13" s="1"/>
  <c r="AE40" i="13"/>
  <c r="AC40" i="13"/>
  <c r="AD40" i="13" s="1"/>
  <c r="AE66" i="13"/>
  <c r="AC66" i="13"/>
  <c r="AD66" i="13" s="1"/>
  <c r="AE77" i="13"/>
  <c r="AC77" i="13"/>
  <c r="AD77" i="13" s="1"/>
  <c r="AE184" i="13"/>
  <c r="AC184" i="13"/>
  <c r="AD184" i="13" s="1"/>
  <c r="AC88" i="13"/>
  <c r="AD88" i="13" s="1"/>
  <c r="AE88" i="13"/>
  <c r="AE227" i="13"/>
  <c r="AC227" i="13"/>
  <c r="AD227" i="13" s="1"/>
  <c r="AE231" i="13"/>
  <c r="AC231" i="13"/>
  <c r="AD231" i="13" s="1"/>
  <c r="AC222" i="13"/>
  <c r="AD222" i="13" s="1"/>
  <c r="AE222" i="13"/>
  <c r="AE62" i="13"/>
  <c r="AC62" i="13"/>
  <c r="AD62" i="13" s="1"/>
  <c r="AF43" i="13"/>
  <c r="AE192" i="13"/>
  <c r="AC192" i="13"/>
  <c r="AD192" i="13" s="1"/>
  <c r="AE223" i="13"/>
  <c r="AC223" i="13"/>
  <c r="AD223" i="13" s="1"/>
  <c r="W232" i="13"/>
  <c r="X232" i="13" s="1"/>
  <c r="AC195" i="13"/>
  <c r="AD195" i="13" s="1"/>
  <c r="AE195" i="13"/>
  <c r="AE103" i="13"/>
  <c r="AC103" i="13"/>
  <c r="AD103" i="13" s="1"/>
  <c r="W220" i="13"/>
  <c r="X220" i="13" s="1"/>
  <c r="AF236" i="13"/>
  <c r="AC246" i="13"/>
  <c r="AD246" i="13" s="1"/>
  <c r="AE246" i="13"/>
  <c r="AF259" i="13"/>
  <c r="AE256" i="13"/>
  <c r="AC256" i="13"/>
  <c r="AD256" i="13" s="1"/>
  <c r="W54" i="13"/>
  <c r="X54" i="13" s="1"/>
  <c r="W86" i="13"/>
  <c r="AE53" i="13"/>
  <c r="AC53" i="13"/>
  <c r="AD53" i="13" s="1"/>
  <c r="W177" i="13"/>
  <c r="X177" i="13" s="1"/>
  <c r="AE200" i="13"/>
  <c r="AC200" i="13"/>
  <c r="AD200" i="13" s="1"/>
  <c r="W173" i="13"/>
  <c r="X173" i="13" s="1"/>
  <c r="AC179" i="13"/>
  <c r="AD179" i="13" s="1"/>
  <c r="AE179" i="13"/>
  <c r="W181" i="13"/>
  <c r="X181" i="13" s="1"/>
  <c r="AC187" i="13"/>
  <c r="AD187" i="13" s="1"/>
  <c r="AE187" i="13"/>
  <c r="AF203" i="13"/>
  <c r="W208" i="13"/>
  <c r="X208" i="13" s="1"/>
  <c r="AF251" i="13"/>
  <c r="AE219" i="13"/>
  <c r="AC219" i="13"/>
  <c r="AD219" i="13" s="1"/>
  <c r="AE235" i="13"/>
  <c r="AC235" i="13"/>
  <c r="AD235" i="13" s="1"/>
  <c r="AC105" i="13"/>
  <c r="AD105" i="13" s="1"/>
  <c r="AE105" i="13"/>
  <c r="W210" i="13"/>
  <c r="X210" i="13" s="1"/>
  <c r="AE247" i="13"/>
  <c r="AC247" i="13"/>
  <c r="AD247" i="13" s="1"/>
  <c r="AF217" i="13"/>
  <c r="W249" i="13"/>
  <c r="X249" i="13" s="1"/>
  <c r="AF262" i="13"/>
  <c r="AC254" i="13"/>
  <c r="AD254" i="13" s="1"/>
  <c r="AE254" i="13"/>
  <c r="AF257" i="13"/>
  <c r="AC238" i="13"/>
  <c r="AD238" i="13" s="1"/>
  <c r="AE238" i="13"/>
  <c r="AE36" i="13"/>
  <c r="AC36" i="13"/>
  <c r="AD36" i="13" s="1"/>
  <c r="AE26" i="13"/>
  <c r="AC26" i="13"/>
  <c r="AD26" i="13" s="1"/>
  <c r="W23" i="13"/>
  <c r="X23" i="13" s="1"/>
  <c r="AE13" i="13"/>
  <c r="AC13" i="13"/>
  <c r="AD13" i="13" s="1"/>
  <c r="AE22" i="13"/>
  <c r="AC22" i="13"/>
  <c r="AD22" i="13" s="1"/>
  <c r="AE31" i="13"/>
  <c r="AC31" i="13"/>
  <c r="AD31" i="13" s="1"/>
  <c r="AF30" i="13"/>
  <c r="AE17" i="13"/>
  <c r="AC17" i="13"/>
  <c r="AD17" i="13" s="1"/>
  <c r="AE9" i="13"/>
  <c r="AC9" i="13"/>
  <c r="AD9" i="13" s="1"/>
  <c r="P30" i="13"/>
  <c r="K30" i="13"/>
  <c r="E30" i="13"/>
  <c r="D30" i="13"/>
  <c r="C30" i="13"/>
  <c r="B30" i="13"/>
  <c r="P28" i="13"/>
  <c r="K28" i="13"/>
  <c r="E28" i="13"/>
  <c r="D28" i="13"/>
  <c r="C28" i="13"/>
  <c r="B28" i="13"/>
  <c r="P95" i="13"/>
  <c r="K95" i="13"/>
  <c r="E95" i="13"/>
  <c r="D95" i="13"/>
  <c r="C95" i="13"/>
  <c r="B95" i="13"/>
  <c r="P82" i="13"/>
  <c r="K82" i="13"/>
  <c r="E82" i="13"/>
  <c r="D82" i="13"/>
  <c r="C82" i="13"/>
  <c r="B82" i="13"/>
  <c r="AF18" i="13" l="1"/>
  <c r="X18" i="13"/>
  <c r="AF206" i="13"/>
  <c r="X206" i="13"/>
  <c r="AF216" i="13"/>
  <c r="X216" i="13"/>
  <c r="AF198" i="13"/>
  <c r="X198" i="13"/>
  <c r="AF80" i="13"/>
  <c r="X80" i="13"/>
  <c r="AF8" i="13"/>
  <c r="X8" i="13"/>
  <c r="AF86" i="13"/>
  <c r="X86" i="13"/>
  <c r="AF7" i="13"/>
  <c r="X7" i="13"/>
  <c r="AF190" i="13"/>
  <c r="X190" i="13"/>
  <c r="AF193" i="13"/>
  <c r="X193" i="13"/>
  <c r="AF34" i="13"/>
  <c r="X34" i="13"/>
  <c r="AF182" i="13"/>
  <c r="X182" i="13"/>
  <c r="AF191" i="13"/>
  <c r="X191" i="13"/>
  <c r="AF68" i="13"/>
  <c r="AD68" i="13"/>
  <c r="AF25" i="13"/>
  <c r="X25" i="13"/>
  <c r="AF84" i="13"/>
  <c r="X84" i="13"/>
  <c r="AF183" i="13"/>
  <c r="X183" i="13"/>
  <c r="AF24" i="13"/>
  <c r="X24" i="13"/>
  <c r="AF91" i="13"/>
  <c r="X91" i="13"/>
  <c r="AF87" i="13"/>
  <c r="X87" i="13"/>
  <c r="AF63" i="13"/>
  <c r="X63" i="13"/>
  <c r="AF229" i="13"/>
  <c r="X229" i="13"/>
  <c r="AF202" i="13"/>
  <c r="X202" i="13"/>
  <c r="AF252" i="13"/>
  <c r="X252" i="13"/>
  <c r="AF35" i="13"/>
  <c r="X35" i="13"/>
  <c r="AF65" i="13"/>
  <c r="X65" i="13"/>
  <c r="AF79" i="13"/>
  <c r="X79" i="13"/>
  <c r="AF94" i="13"/>
  <c r="X94" i="13"/>
  <c r="AF14" i="13"/>
  <c r="X14" i="13"/>
  <c r="AF250" i="13"/>
  <c r="X250" i="13"/>
  <c r="AF209" i="13"/>
  <c r="AD209" i="13"/>
  <c r="AF233" i="13"/>
  <c r="X233" i="13"/>
  <c r="AF213" i="13"/>
  <c r="X213" i="13"/>
  <c r="AF194" i="13"/>
  <c r="X194" i="13"/>
  <c r="AF241" i="13"/>
  <c r="AD241" i="13"/>
  <c r="AF212" i="13"/>
  <c r="X212" i="13"/>
  <c r="AF225" i="13"/>
  <c r="X225" i="13"/>
  <c r="AF90" i="13"/>
  <c r="X90" i="13"/>
  <c r="AF207" i="13"/>
  <c r="X207" i="13"/>
  <c r="AF95" i="13"/>
  <c r="AF73" i="13"/>
  <c r="AF245" i="13"/>
  <c r="AF19" i="13"/>
  <c r="AF218" i="13"/>
  <c r="AF10" i="13"/>
  <c r="AF41" i="13"/>
  <c r="AF261" i="13"/>
  <c r="AF51" i="13"/>
  <c r="AF76" i="13"/>
  <c r="AF253" i="13"/>
  <c r="AF38" i="13"/>
  <c r="AF56" i="13"/>
  <c r="AF72" i="13"/>
  <c r="AF197" i="13"/>
  <c r="AF16" i="13"/>
  <c r="AF28" i="13"/>
  <c r="AF48" i="13"/>
  <c r="AF178" i="13"/>
  <c r="AF254" i="13"/>
  <c r="AF219" i="13"/>
  <c r="AF103" i="13"/>
  <c r="AF222" i="13"/>
  <c r="AF215" i="13"/>
  <c r="AF180" i="13"/>
  <c r="AF205" i="13"/>
  <c r="AF74" i="13"/>
  <c r="AF208" i="13"/>
  <c r="AF201" i="13"/>
  <c r="AF210" i="13"/>
  <c r="AF231" i="13"/>
  <c r="AF77" i="13"/>
  <c r="AF40" i="13"/>
  <c r="AF176" i="13"/>
  <c r="AF49" i="13"/>
  <c r="AF98" i="13"/>
  <c r="AF44" i="13"/>
  <c r="AF179" i="13"/>
  <c r="AF177" i="13"/>
  <c r="AF246" i="13"/>
  <c r="AF88" i="13"/>
  <c r="AF249" i="13"/>
  <c r="AF247" i="13"/>
  <c r="AF105" i="13"/>
  <c r="AF173" i="13"/>
  <c r="AF195" i="13"/>
  <c r="AF62" i="13"/>
  <c r="AF227" i="13"/>
  <c r="AF54" i="13"/>
  <c r="AF184" i="13"/>
  <c r="AF66" i="13"/>
  <c r="AF81" i="13"/>
  <c r="AF224" i="13"/>
  <c r="AF244" i="13"/>
  <c r="AF196" i="13"/>
  <c r="AF96" i="13"/>
  <c r="AF97" i="13"/>
  <c r="AF70" i="13"/>
  <c r="AF82" i="13"/>
  <c r="AF50" i="13"/>
  <c r="AF248" i="13"/>
  <c r="AF230" i="13"/>
  <c r="AF243" i="13"/>
  <c r="AF93" i="13"/>
  <c r="AF238" i="13"/>
  <c r="AF200" i="13"/>
  <c r="AF53" i="13"/>
  <c r="AF232" i="13"/>
  <c r="AF228" i="13"/>
  <c r="AF185" i="13"/>
  <c r="AF188" i="13"/>
  <c r="AF187" i="13"/>
  <c r="AF220" i="13"/>
  <c r="AF223" i="13"/>
  <c r="AF192" i="13"/>
  <c r="AF214" i="13"/>
  <c r="AF239" i="13"/>
  <c r="AF263" i="13"/>
  <c r="AF235" i="13"/>
  <c r="AF181" i="13"/>
  <c r="AF256" i="13"/>
  <c r="AF240" i="13"/>
  <c r="AF71" i="13"/>
  <c r="AF39" i="13"/>
  <c r="AF45" i="13"/>
  <c r="AF69" i="13"/>
  <c r="AF31" i="13"/>
  <c r="AF13" i="13"/>
  <c r="AF26" i="13"/>
  <c r="AF9" i="13"/>
  <c r="AF22" i="13"/>
  <c r="AF17" i="13"/>
  <c r="AF23" i="13"/>
  <c r="AF36" i="13"/>
  <c r="N234" i="13"/>
  <c r="AB27" i="13" l="1"/>
  <c r="V27" i="13"/>
  <c r="W27" i="13" s="1"/>
  <c r="X27" i="13" s="1"/>
  <c r="AB75" i="13"/>
  <c r="V75" i="13"/>
  <c r="W75" i="13" s="1"/>
  <c r="X75" i="13" s="1"/>
  <c r="AB85" i="13"/>
  <c r="V85" i="13"/>
  <c r="W85" i="13" s="1"/>
  <c r="X85" i="13" s="1"/>
  <c r="AB21" i="13"/>
  <c r="V21" i="13"/>
  <c r="W21" i="13" s="1"/>
  <c r="X21" i="13" s="1"/>
  <c r="V234" i="13"/>
  <c r="W234" i="13" s="1"/>
  <c r="X234" i="13" s="1"/>
  <c r="AB234" i="13"/>
  <c r="AC21" i="13" l="1"/>
  <c r="AD21" i="13" s="1"/>
  <c r="AE21" i="13"/>
  <c r="AC75" i="13"/>
  <c r="AD75" i="13" s="1"/>
  <c r="AE75" i="13"/>
  <c r="AC234" i="13"/>
  <c r="AD234" i="13" s="1"/>
  <c r="AE234" i="13"/>
  <c r="AC85" i="13"/>
  <c r="AD85" i="13" s="1"/>
  <c r="AE85" i="13"/>
  <c r="AC27" i="13"/>
  <c r="AD27" i="13" s="1"/>
  <c r="AE27" i="13"/>
  <c r="F21" i="25"/>
  <c r="F22" i="25"/>
  <c r="F24" i="25"/>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AF27" i="13" l="1"/>
  <c r="AF234" i="13"/>
  <c r="AF21" i="13"/>
  <c r="AF85" i="13"/>
  <c r="AF75" i="13"/>
  <c r="P216" i="13"/>
  <c r="K216" i="13"/>
  <c r="E216" i="13"/>
  <c r="D216" i="13"/>
  <c r="C216" i="13"/>
  <c r="P215" i="13"/>
  <c r="K215" i="13"/>
  <c r="E215" i="13"/>
  <c r="D215" i="13"/>
  <c r="C215" i="13"/>
  <c r="P213" i="13"/>
  <c r="K213" i="13"/>
  <c r="E213" i="13"/>
  <c r="D213" i="13"/>
  <c r="C213" i="13"/>
  <c r="P212" i="13"/>
  <c r="K212" i="13"/>
  <c r="E212" i="13"/>
  <c r="D212" i="13"/>
  <c r="C212" i="13"/>
  <c r="P211" i="13"/>
  <c r="K211" i="13"/>
  <c r="E211" i="13"/>
  <c r="D211" i="13"/>
  <c r="C211" i="13"/>
  <c r="P210" i="13"/>
  <c r="K210" i="13"/>
  <c r="E210" i="13"/>
  <c r="D210" i="13"/>
  <c r="C210" i="13"/>
  <c r="P209" i="13"/>
  <c r="K209" i="13"/>
  <c r="E209" i="13"/>
  <c r="D209" i="13"/>
  <c r="C209" i="13"/>
  <c r="P208" i="13"/>
  <c r="K208" i="13"/>
  <c r="E208" i="13"/>
  <c r="D208" i="13"/>
  <c r="C208" i="13"/>
  <c r="P207" i="13"/>
  <c r="K207" i="13"/>
  <c r="E207" i="13"/>
  <c r="D207" i="13"/>
  <c r="C207" i="13"/>
  <c r="P206" i="13"/>
  <c r="K206" i="13"/>
  <c r="E206" i="13"/>
  <c r="D206" i="13"/>
  <c r="C206" i="13"/>
  <c r="P205" i="13"/>
  <c r="K205" i="13"/>
  <c r="E205" i="13"/>
  <c r="D205" i="13"/>
  <c r="C205" i="13"/>
  <c r="P204" i="13"/>
  <c r="K204" i="13"/>
  <c r="E204" i="13"/>
  <c r="D204" i="13"/>
  <c r="C204" i="13"/>
  <c r="P203" i="13"/>
  <c r="K203" i="13"/>
  <c r="E203" i="13"/>
  <c r="D203" i="13"/>
  <c r="C203" i="13"/>
  <c r="P202" i="13"/>
  <c r="K202" i="13"/>
  <c r="E202" i="13"/>
  <c r="D202" i="13"/>
  <c r="C202" i="13"/>
  <c r="P201" i="13"/>
  <c r="K201" i="13"/>
  <c r="E201" i="13"/>
  <c r="D201" i="13"/>
  <c r="C201" i="13"/>
  <c r="P200" i="13"/>
  <c r="K200" i="13"/>
  <c r="E200" i="13"/>
  <c r="D200" i="13"/>
  <c r="C200" i="13"/>
  <c r="P199" i="13"/>
  <c r="K199" i="13"/>
  <c r="E199" i="13"/>
  <c r="D199" i="13"/>
  <c r="C199" i="13"/>
  <c r="P198" i="13"/>
  <c r="K198" i="13"/>
  <c r="E198" i="13"/>
  <c r="D198" i="13"/>
  <c r="C198" i="13"/>
  <c r="P197" i="13"/>
  <c r="K197" i="13"/>
  <c r="E197" i="13"/>
  <c r="D197" i="13"/>
  <c r="C197" i="13"/>
  <c r="P196" i="13"/>
  <c r="K196" i="13"/>
  <c r="E196" i="13"/>
  <c r="D196" i="13"/>
  <c r="C196" i="13"/>
  <c r="P195" i="13"/>
  <c r="K195" i="13"/>
  <c r="E195" i="13"/>
  <c r="D195" i="13"/>
  <c r="C195" i="13"/>
  <c r="P194" i="13"/>
  <c r="K194" i="13"/>
  <c r="E194" i="13"/>
  <c r="D194" i="13"/>
  <c r="C194" i="13"/>
  <c r="P193" i="13"/>
  <c r="K193" i="13"/>
  <c r="E193" i="13"/>
  <c r="D193" i="13"/>
  <c r="C193" i="13"/>
  <c r="P192" i="13"/>
  <c r="K192" i="13"/>
  <c r="E192" i="13"/>
  <c r="D192" i="13"/>
  <c r="C192" i="13"/>
  <c r="P191" i="13"/>
  <c r="K191" i="13"/>
  <c r="E191" i="13"/>
  <c r="D191" i="13"/>
  <c r="C191" i="13"/>
  <c r="P190" i="13"/>
  <c r="K190" i="13"/>
  <c r="E190" i="13"/>
  <c r="D190" i="13"/>
  <c r="C190" i="13"/>
  <c r="P189" i="13"/>
  <c r="K189" i="13"/>
  <c r="E189" i="13"/>
  <c r="D189" i="13"/>
  <c r="C189" i="13"/>
  <c r="P188" i="13"/>
  <c r="K188" i="13"/>
  <c r="E188" i="13"/>
  <c r="D188" i="13"/>
  <c r="C188" i="13"/>
  <c r="P187" i="13"/>
  <c r="K187" i="13"/>
  <c r="E187" i="13"/>
  <c r="D187" i="13"/>
  <c r="C187" i="13"/>
  <c r="P186" i="13"/>
  <c r="K186" i="13"/>
  <c r="E186" i="13"/>
  <c r="D186" i="13"/>
  <c r="C186" i="13"/>
  <c r="P185" i="13"/>
  <c r="K185" i="13"/>
  <c r="E185" i="13"/>
  <c r="D185" i="13"/>
  <c r="C185" i="13"/>
  <c r="P184" i="13"/>
  <c r="K184" i="13"/>
  <c r="E184" i="13"/>
  <c r="D184" i="13"/>
  <c r="C184" i="13"/>
  <c r="P183" i="13"/>
  <c r="K183" i="13"/>
  <c r="E183" i="13"/>
  <c r="D183" i="13"/>
  <c r="C183" i="13"/>
  <c r="P182" i="13"/>
  <c r="K182" i="13"/>
  <c r="E182" i="13"/>
  <c r="D182" i="13"/>
  <c r="C182" i="13"/>
  <c r="P181" i="13"/>
  <c r="K181" i="13"/>
  <c r="E181" i="13"/>
  <c r="D181" i="13"/>
  <c r="C181" i="13"/>
  <c r="E6" i="13"/>
  <c r="E7" i="13"/>
  <c r="E8" i="13"/>
  <c r="E9" i="13"/>
  <c r="E10" i="13"/>
  <c r="E11" i="13"/>
  <c r="E12" i="13"/>
  <c r="E13" i="13"/>
  <c r="E14" i="13"/>
  <c r="E15" i="13"/>
  <c r="E16" i="13"/>
  <c r="E17" i="13"/>
  <c r="E18" i="13"/>
  <c r="E19" i="13"/>
  <c r="E21" i="13"/>
  <c r="E22" i="13"/>
  <c r="E23" i="13"/>
  <c r="E24" i="13"/>
  <c r="E25" i="13"/>
  <c r="E26" i="13"/>
  <c r="E27" i="13"/>
  <c r="E31" i="13"/>
  <c r="E32" i="13"/>
  <c r="E33" i="13"/>
  <c r="E34" i="13"/>
  <c r="E35" i="13"/>
  <c r="E36" i="13"/>
  <c r="E37" i="13"/>
  <c r="E38" i="13"/>
  <c r="E39" i="13"/>
  <c r="E40" i="13"/>
  <c r="E41" i="13"/>
  <c r="E42" i="13"/>
  <c r="E43" i="13"/>
  <c r="E44" i="13"/>
  <c r="E45" i="13"/>
  <c r="E48" i="13"/>
  <c r="E49" i="13"/>
  <c r="E50" i="13"/>
  <c r="E51" i="13"/>
  <c r="E52" i="13"/>
  <c r="E53" i="13"/>
  <c r="E54" i="13"/>
  <c r="E55" i="13"/>
  <c r="E56" i="13"/>
  <c r="E62" i="13"/>
  <c r="E63" i="13"/>
  <c r="E64" i="13"/>
  <c r="E65" i="13"/>
  <c r="E66" i="13"/>
  <c r="E67" i="13"/>
  <c r="E68" i="13"/>
  <c r="E69" i="13"/>
  <c r="E70" i="13"/>
  <c r="E71" i="13"/>
  <c r="E72" i="13"/>
  <c r="E73" i="13"/>
  <c r="E74" i="13"/>
  <c r="E75" i="13"/>
  <c r="E76" i="13"/>
  <c r="E77" i="13"/>
  <c r="E78" i="13"/>
  <c r="E79" i="13"/>
  <c r="E80" i="13"/>
  <c r="E81" i="13"/>
  <c r="E83" i="13"/>
  <c r="E84" i="13"/>
  <c r="E85" i="13"/>
  <c r="E86" i="13"/>
  <c r="E87" i="13"/>
  <c r="E88" i="13"/>
  <c r="E90" i="13"/>
  <c r="E91" i="13"/>
  <c r="E92" i="13"/>
  <c r="E93" i="13"/>
  <c r="E96" i="13"/>
  <c r="E97" i="13"/>
  <c r="E98" i="13"/>
  <c r="E99" i="13"/>
  <c r="E102" i="13"/>
  <c r="E103" i="13"/>
  <c r="E104" i="13"/>
  <c r="E105" i="13"/>
  <c r="E106" i="13"/>
  <c r="E173" i="13"/>
  <c r="E174" i="13"/>
  <c r="E175" i="13"/>
  <c r="E176" i="13"/>
  <c r="E177" i="13"/>
  <c r="E178" i="13"/>
  <c r="E179" i="13"/>
  <c r="E180" i="13"/>
  <c r="E214"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D6" i="13"/>
  <c r="D7" i="13"/>
  <c r="D8" i="13"/>
  <c r="D9" i="13"/>
  <c r="D10" i="13"/>
  <c r="D11" i="13"/>
  <c r="D12" i="13"/>
  <c r="D13" i="13"/>
  <c r="D14" i="13"/>
  <c r="D15" i="13"/>
  <c r="D16" i="13"/>
  <c r="D17" i="13"/>
  <c r="D18" i="13"/>
  <c r="D19" i="13"/>
  <c r="D21" i="13"/>
  <c r="D22" i="13"/>
  <c r="D23" i="13"/>
  <c r="D24" i="13"/>
  <c r="D25" i="13"/>
  <c r="D26" i="13"/>
  <c r="D27" i="13"/>
  <c r="D31" i="13"/>
  <c r="D32" i="13"/>
  <c r="D33" i="13"/>
  <c r="D34" i="13"/>
  <c r="D35" i="13"/>
  <c r="D36" i="13"/>
  <c r="D37" i="13"/>
  <c r="D38" i="13"/>
  <c r="D39" i="13"/>
  <c r="D40" i="13"/>
  <c r="D41" i="13"/>
  <c r="D42" i="13"/>
  <c r="D43" i="13"/>
  <c r="D44" i="13"/>
  <c r="D45" i="13"/>
  <c r="D48" i="13"/>
  <c r="D49" i="13"/>
  <c r="D50" i="13"/>
  <c r="D51" i="13"/>
  <c r="D52" i="13"/>
  <c r="D53" i="13"/>
  <c r="D54" i="13"/>
  <c r="D55" i="13"/>
  <c r="D56" i="13"/>
  <c r="D62" i="13"/>
  <c r="D63" i="13"/>
  <c r="D64" i="13"/>
  <c r="D65" i="13"/>
  <c r="D66" i="13"/>
  <c r="D67" i="13"/>
  <c r="D68" i="13"/>
  <c r="D69" i="13"/>
  <c r="D70" i="13"/>
  <c r="D71" i="13"/>
  <c r="D72" i="13"/>
  <c r="D73" i="13"/>
  <c r="D74" i="13"/>
  <c r="D75" i="13"/>
  <c r="D76" i="13"/>
  <c r="D77" i="13"/>
  <c r="D78" i="13"/>
  <c r="D79" i="13"/>
  <c r="D80" i="13"/>
  <c r="D81" i="13"/>
  <c r="D83" i="13"/>
  <c r="D84" i="13"/>
  <c r="D85" i="13"/>
  <c r="D86" i="13"/>
  <c r="D87" i="13"/>
  <c r="D88" i="13"/>
  <c r="D90" i="13"/>
  <c r="D91" i="13"/>
  <c r="D92" i="13"/>
  <c r="D93" i="13"/>
  <c r="D96" i="13"/>
  <c r="D97" i="13"/>
  <c r="D98" i="13"/>
  <c r="D99" i="13"/>
  <c r="D102" i="13"/>
  <c r="D103" i="13"/>
  <c r="D104" i="13"/>
  <c r="D105" i="13"/>
  <c r="D106" i="13"/>
  <c r="D173" i="13"/>
  <c r="D174" i="13"/>
  <c r="D175" i="13"/>
  <c r="D176" i="13"/>
  <c r="D177" i="13"/>
  <c r="D178" i="13"/>
  <c r="D179" i="13"/>
  <c r="D180" i="13"/>
  <c r="D214"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C6" i="13"/>
  <c r="C7" i="13"/>
  <c r="C8" i="13"/>
  <c r="C9" i="13"/>
  <c r="C10" i="13"/>
  <c r="C11" i="13"/>
  <c r="C12" i="13"/>
  <c r="C13" i="13"/>
  <c r="C14" i="13"/>
  <c r="C15" i="13"/>
  <c r="C16" i="13"/>
  <c r="C17" i="13"/>
  <c r="C18" i="13"/>
  <c r="C19" i="13"/>
  <c r="C21" i="13"/>
  <c r="C22" i="13"/>
  <c r="C23" i="13"/>
  <c r="C24" i="13"/>
  <c r="C25" i="13"/>
  <c r="C26" i="13"/>
  <c r="C27" i="13"/>
  <c r="C31" i="13"/>
  <c r="C32" i="13"/>
  <c r="C33" i="13"/>
  <c r="C34" i="13"/>
  <c r="C35" i="13"/>
  <c r="C36" i="13"/>
  <c r="C37" i="13"/>
  <c r="C38" i="13"/>
  <c r="C39" i="13"/>
  <c r="C40" i="13"/>
  <c r="C41" i="13"/>
  <c r="C42" i="13"/>
  <c r="C43" i="13"/>
  <c r="C44" i="13"/>
  <c r="C45" i="13"/>
  <c r="C48" i="13"/>
  <c r="C49" i="13"/>
  <c r="C50" i="13"/>
  <c r="C51" i="13"/>
  <c r="C52" i="13"/>
  <c r="C53" i="13"/>
  <c r="C54" i="13"/>
  <c r="C55" i="13"/>
  <c r="C56" i="13"/>
  <c r="C62" i="13"/>
  <c r="C63" i="13"/>
  <c r="C64" i="13"/>
  <c r="C65" i="13"/>
  <c r="C66" i="13"/>
  <c r="C67" i="13"/>
  <c r="C68" i="13"/>
  <c r="C69" i="13"/>
  <c r="C70" i="13"/>
  <c r="C71" i="13"/>
  <c r="C72" i="13"/>
  <c r="C73" i="13"/>
  <c r="C74" i="13"/>
  <c r="C75" i="13"/>
  <c r="C76" i="13"/>
  <c r="C77" i="13"/>
  <c r="C78" i="13"/>
  <c r="C79" i="13"/>
  <c r="C80" i="13"/>
  <c r="C81" i="13"/>
  <c r="C83" i="13"/>
  <c r="C84" i="13"/>
  <c r="C85" i="13"/>
  <c r="C86" i="13"/>
  <c r="C87" i="13"/>
  <c r="C88" i="13"/>
  <c r="C90" i="13"/>
  <c r="C91" i="13"/>
  <c r="C92" i="13"/>
  <c r="C93" i="13"/>
  <c r="C96" i="13"/>
  <c r="C97" i="13"/>
  <c r="C98" i="13"/>
  <c r="C99" i="13"/>
  <c r="C102" i="13"/>
  <c r="C103" i="13"/>
  <c r="C104" i="13"/>
  <c r="C105" i="13"/>
  <c r="C106" i="13"/>
  <c r="C173" i="13"/>
  <c r="C174" i="13"/>
  <c r="C175" i="13"/>
  <c r="C176" i="13"/>
  <c r="C177" i="13"/>
  <c r="C178" i="13"/>
  <c r="C179" i="13"/>
  <c r="C180" i="13"/>
  <c r="C214"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C241" i="13"/>
  <c r="C242" i="13"/>
  <c r="C243" i="13"/>
  <c r="C244" i="13"/>
  <c r="C245" i="13"/>
  <c r="C246" i="13"/>
  <c r="C247" i="13"/>
  <c r="C248" i="13"/>
  <c r="C249" i="13"/>
  <c r="C250" i="13"/>
  <c r="C251" i="13"/>
  <c r="C252" i="13"/>
  <c r="C253" i="13"/>
  <c r="C254" i="13"/>
  <c r="C255" i="13"/>
  <c r="C256" i="13"/>
  <c r="C257" i="13"/>
  <c r="C258" i="13"/>
  <c r="C259" i="13"/>
  <c r="C260" i="13"/>
  <c r="C261" i="13"/>
  <c r="C262" i="13"/>
  <c r="C263" i="13"/>
  <c r="H15" i="26" l="1"/>
  <c r="H16" i="26"/>
  <c r="B12" i="19" l="1"/>
  <c r="T6" i="13" l="1"/>
  <c r="B24" i="25"/>
  <c r="B22" i="25"/>
  <c r="B21" i="25"/>
  <c r="C7" i="19"/>
  <c r="P6" i="13"/>
  <c r="P7" i="13"/>
  <c r="P8" i="13"/>
  <c r="P9" i="13"/>
  <c r="P10" i="13"/>
  <c r="P11" i="13"/>
  <c r="P12" i="13"/>
  <c r="P13" i="13"/>
  <c r="P14" i="13"/>
  <c r="P15" i="13"/>
  <c r="P16" i="13"/>
  <c r="P17" i="13"/>
  <c r="P18" i="13"/>
  <c r="P19" i="13"/>
  <c r="P21" i="13"/>
  <c r="P22" i="13"/>
  <c r="P23" i="13"/>
  <c r="P24" i="13"/>
  <c r="P25" i="13"/>
  <c r="P26" i="13"/>
  <c r="P27" i="13"/>
  <c r="P31" i="13"/>
  <c r="P32" i="13"/>
  <c r="P33" i="13"/>
  <c r="P34" i="13"/>
  <c r="P35" i="13"/>
  <c r="P36" i="13"/>
  <c r="P37" i="13"/>
  <c r="P38" i="13"/>
  <c r="P39" i="13"/>
  <c r="P40" i="13"/>
  <c r="P41" i="13"/>
  <c r="P42" i="13"/>
  <c r="P43" i="13"/>
  <c r="P44" i="13"/>
  <c r="P45" i="13"/>
  <c r="P48" i="13"/>
  <c r="P49" i="13"/>
  <c r="P50" i="13"/>
  <c r="P51" i="13"/>
  <c r="P52" i="13"/>
  <c r="P53" i="13"/>
  <c r="P54" i="13"/>
  <c r="P55" i="13"/>
  <c r="P56" i="13"/>
  <c r="P62" i="13"/>
  <c r="P63" i="13"/>
  <c r="P64" i="13"/>
  <c r="P65" i="13"/>
  <c r="P66" i="13"/>
  <c r="P67" i="13"/>
  <c r="P68" i="13"/>
  <c r="P69" i="13"/>
  <c r="P70" i="13"/>
  <c r="P71" i="13"/>
  <c r="P72" i="13"/>
  <c r="P73" i="13"/>
  <c r="P74" i="13"/>
  <c r="P75" i="13"/>
  <c r="P76" i="13"/>
  <c r="P77" i="13"/>
  <c r="P78" i="13"/>
  <c r="P79" i="13"/>
  <c r="P80" i="13"/>
  <c r="P81" i="13"/>
  <c r="P83" i="13"/>
  <c r="P84" i="13"/>
  <c r="P85" i="13"/>
  <c r="P86" i="13"/>
  <c r="P87" i="13"/>
  <c r="P88" i="13"/>
  <c r="P90" i="13"/>
  <c r="P91" i="13"/>
  <c r="P92" i="13"/>
  <c r="P93" i="13"/>
  <c r="P96" i="13"/>
  <c r="P97" i="13"/>
  <c r="P98" i="13"/>
  <c r="P99" i="13"/>
  <c r="P102" i="13"/>
  <c r="P103" i="13"/>
  <c r="P104" i="13"/>
  <c r="P105" i="13"/>
  <c r="P106" i="13"/>
  <c r="P173" i="13"/>
  <c r="P174" i="13"/>
  <c r="P175" i="13"/>
  <c r="P176" i="13"/>
  <c r="P177" i="13"/>
  <c r="P178" i="13"/>
  <c r="P179" i="13"/>
  <c r="P180" i="13"/>
  <c r="P214"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52" i="13"/>
  <c r="P253" i="13"/>
  <c r="P254" i="13"/>
  <c r="P255" i="13"/>
  <c r="P256" i="13"/>
  <c r="P257" i="13"/>
  <c r="P258" i="13"/>
  <c r="P259" i="13"/>
  <c r="P260" i="13"/>
  <c r="P261" i="13"/>
  <c r="P262" i="13"/>
  <c r="P263" i="13"/>
  <c r="K25" i="13"/>
  <c r="K26" i="13"/>
  <c r="K27" i="13"/>
  <c r="K31" i="13"/>
  <c r="K32" i="13"/>
  <c r="K33" i="13"/>
  <c r="K34" i="13"/>
  <c r="K35" i="13"/>
  <c r="K36" i="13"/>
  <c r="K37" i="13"/>
  <c r="K38" i="13"/>
  <c r="K39" i="13"/>
  <c r="K40" i="13"/>
  <c r="K41" i="13"/>
  <c r="K42" i="13"/>
  <c r="K43" i="13"/>
  <c r="K44" i="13"/>
  <c r="K45" i="13"/>
  <c r="K48" i="13"/>
  <c r="K49" i="13"/>
  <c r="K50" i="13"/>
  <c r="K51" i="13"/>
  <c r="K52" i="13"/>
  <c r="K53" i="13"/>
  <c r="K54" i="13"/>
  <c r="K55" i="13"/>
  <c r="K56" i="13"/>
  <c r="K62" i="13"/>
  <c r="K63" i="13"/>
  <c r="K64" i="13"/>
  <c r="K65" i="13"/>
  <c r="K66" i="13"/>
  <c r="K67" i="13"/>
  <c r="K68" i="13"/>
  <c r="K69" i="13"/>
  <c r="K70" i="13"/>
  <c r="K71" i="13"/>
  <c r="K72" i="13"/>
  <c r="K73" i="13"/>
  <c r="K74" i="13"/>
  <c r="K75" i="13"/>
  <c r="K76" i="13"/>
  <c r="K77" i="13"/>
  <c r="K78" i="13"/>
  <c r="K79" i="13"/>
  <c r="K80" i="13"/>
  <c r="K81" i="13"/>
  <c r="K83" i="13"/>
  <c r="K84" i="13"/>
  <c r="K85" i="13"/>
  <c r="K86" i="13"/>
  <c r="K87" i="13"/>
  <c r="K88" i="13"/>
  <c r="K90" i="13"/>
  <c r="K91" i="13"/>
  <c r="K92" i="13"/>
  <c r="K93" i="13"/>
  <c r="K96" i="13"/>
  <c r="K97" i="13"/>
  <c r="K98" i="13"/>
  <c r="K99" i="13"/>
  <c r="K102" i="13"/>
  <c r="K104" i="13"/>
  <c r="K105" i="13"/>
  <c r="K106" i="13"/>
  <c r="K173" i="13"/>
  <c r="K174" i="13"/>
  <c r="K175" i="13"/>
  <c r="K176" i="13"/>
  <c r="K177" i="13"/>
  <c r="K178" i="13"/>
  <c r="K179" i="13"/>
  <c r="K180" i="13"/>
  <c r="K214"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K241" i="13"/>
  <c r="K242" i="13"/>
  <c r="K243" i="13"/>
  <c r="K244" i="13"/>
  <c r="K245" i="13"/>
  <c r="K246" i="13"/>
  <c r="K247" i="13"/>
  <c r="K248" i="13"/>
  <c r="K249" i="13"/>
  <c r="K250" i="13"/>
  <c r="K251" i="13"/>
  <c r="K252" i="13"/>
  <c r="K253" i="13"/>
  <c r="K254" i="13"/>
  <c r="K255" i="13"/>
  <c r="K256" i="13"/>
  <c r="K257" i="13"/>
  <c r="K258" i="13"/>
  <c r="K259" i="13"/>
  <c r="K260" i="13"/>
  <c r="K261" i="13"/>
  <c r="K262" i="13"/>
  <c r="K263" i="13"/>
  <c r="B7" i="19" l="1"/>
  <c r="H21" i="25"/>
  <c r="H22" i="25"/>
  <c r="H24" i="25"/>
  <c r="E16" i="26"/>
  <c r="E15" i="26"/>
  <c r="B15" i="26"/>
  <c r="B16" i="26"/>
  <c r="B7" i="13"/>
  <c r="B8" i="13"/>
  <c r="B9" i="13"/>
  <c r="B10" i="13"/>
  <c r="B11" i="13"/>
  <c r="B12" i="13"/>
  <c r="B13" i="13"/>
  <c r="B14" i="13"/>
  <c r="B15" i="13"/>
  <c r="B16" i="13"/>
  <c r="B17" i="13"/>
  <c r="B18" i="13"/>
  <c r="B19" i="13"/>
  <c r="B21" i="13"/>
  <c r="B22" i="13"/>
  <c r="B23" i="13"/>
  <c r="B24" i="13"/>
  <c r="B25" i="13"/>
  <c r="B26" i="13"/>
  <c r="B27" i="13"/>
  <c r="B31" i="13"/>
  <c r="B32" i="13"/>
  <c r="B33" i="13"/>
  <c r="B34" i="13"/>
  <c r="B35" i="13"/>
  <c r="B36" i="13"/>
  <c r="B37" i="13"/>
  <c r="B38" i="13"/>
  <c r="B39" i="13"/>
  <c r="B40" i="13"/>
  <c r="B41" i="13"/>
  <c r="B42" i="13"/>
  <c r="B43" i="13"/>
  <c r="B44" i="13"/>
  <c r="B45" i="13"/>
  <c r="B48" i="13"/>
  <c r="B49" i="13"/>
  <c r="B50" i="13"/>
  <c r="B51" i="13"/>
  <c r="B52" i="13"/>
  <c r="B53" i="13"/>
  <c r="B54" i="13"/>
  <c r="B55" i="13"/>
  <c r="B56" i="13"/>
  <c r="B62" i="13"/>
  <c r="B63" i="13"/>
  <c r="B64" i="13"/>
  <c r="B65" i="13"/>
  <c r="B66" i="13"/>
  <c r="B67" i="13"/>
  <c r="B68" i="13"/>
  <c r="B69" i="13"/>
  <c r="B70" i="13"/>
  <c r="B71" i="13"/>
  <c r="B72" i="13"/>
  <c r="B73" i="13"/>
  <c r="B74" i="13"/>
  <c r="B75" i="13"/>
  <c r="B76" i="13"/>
  <c r="B77" i="13"/>
  <c r="B78" i="13"/>
  <c r="B79" i="13"/>
  <c r="B80" i="13"/>
  <c r="B81" i="13"/>
  <c r="B83" i="13"/>
  <c r="B84" i="13"/>
  <c r="B85" i="13"/>
  <c r="B86" i="13"/>
  <c r="B87" i="13"/>
  <c r="B88" i="13"/>
  <c r="B90" i="13"/>
  <c r="B91" i="13"/>
  <c r="B92" i="13"/>
  <c r="B93" i="13"/>
  <c r="B96" i="13"/>
  <c r="B97" i="13"/>
  <c r="B98" i="13"/>
  <c r="B99" i="13"/>
  <c r="B102" i="13"/>
  <c r="B103" i="13"/>
  <c r="B104" i="13"/>
  <c r="B105" i="13"/>
  <c r="B106" i="13"/>
  <c r="B173" i="13"/>
  <c r="B174" i="13"/>
  <c r="B175" i="13"/>
  <c r="B176" i="13"/>
  <c r="B177" i="13"/>
  <c r="B178" i="13"/>
  <c r="B179" i="13"/>
  <c r="B180"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6" i="13"/>
  <c r="D12" i="19" l="1"/>
  <c r="H25" i="25"/>
  <c r="D13" i="19" l="1"/>
  <c r="D24" i="25"/>
  <c r="D22" i="25"/>
  <c r="D21" i="25"/>
  <c r="Z6" i="13"/>
  <c r="AA6" i="13" s="1"/>
  <c r="K7" i="13"/>
  <c r="K8" i="13"/>
  <c r="K10" i="13"/>
  <c r="K11" i="13"/>
  <c r="K12" i="13"/>
  <c r="K13" i="13"/>
  <c r="K14" i="13"/>
  <c r="K15" i="13"/>
  <c r="K16" i="13"/>
  <c r="K17" i="13"/>
  <c r="K18" i="13"/>
  <c r="K19" i="13"/>
  <c r="K21" i="13"/>
  <c r="K22" i="13"/>
  <c r="K23" i="13"/>
  <c r="K24" i="13"/>
  <c r="K6" i="13"/>
  <c r="C8" i="19" l="1"/>
  <c r="AB6" i="13"/>
  <c r="AC6" i="13" l="1"/>
  <c r="AD6" i="13" s="1"/>
  <c r="H17" i="26" l="1"/>
  <c r="AG98" i="13" l="1"/>
  <c r="AG201" i="13"/>
  <c r="AG208" i="13"/>
  <c r="AG230" i="13"/>
  <c r="AG95" i="13"/>
  <c r="AG56" i="13"/>
  <c r="AG194" i="13"/>
  <c r="AG223" i="13"/>
  <c r="AG226" i="13"/>
  <c r="AG203" i="13"/>
  <c r="AG19" i="13"/>
  <c r="AG48" i="13"/>
  <c r="AG186" i="13"/>
  <c r="AG204" i="13"/>
  <c r="AG237" i="13"/>
  <c r="AG238" i="13"/>
  <c r="AG96" i="13"/>
  <c r="AG157" i="13"/>
  <c r="AG140" i="13"/>
  <c r="AG120" i="13"/>
  <c r="AG126" i="13"/>
  <c r="AG29" i="13"/>
  <c r="AG28" i="13"/>
  <c r="AG85" i="13"/>
  <c r="AG27" i="13"/>
  <c r="AG188" i="13"/>
  <c r="AG254" i="13"/>
  <c r="AG196" i="13"/>
  <c r="AG77" i="13"/>
  <c r="AG235" i="13"/>
  <c r="AG256" i="13"/>
  <c r="AG49" i="13"/>
  <c r="AG247" i="13"/>
  <c r="AG11" i="13"/>
  <c r="AG198" i="13"/>
  <c r="AG197" i="13"/>
  <c r="AG72" i="13"/>
  <c r="AG182" i="13"/>
  <c r="AG249" i="13"/>
  <c r="AG71" i="13"/>
  <c r="AG8" i="13"/>
  <c r="AG173" i="13"/>
  <c r="AG220" i="13"/>
  <c r="AG12" i="13"/>
  <c r="AG68" i="13"/>
  <c r="AG64" i="13"/>
  <c r="AG244" i="13"/>
  <c r="AG216" i="13"/>
  <c r="AG189" i="13"/>
  <c r="AG67" i="13"/>
  <c r="AG87" i="13"/>
  <c r="AG63" i="13"/>
  <c r="AG177" i="13"/>
  <c r="AG82" i="13"/>
  <c r="AG193" i="13"/>
  <c r="AG50" i="13"/>
  <c r="AG217" i="13"/>
  <c r="AG7" i="13"/>
  <c r="AG250" i="13"/>
  <c r="AG94" i="13"/>
  <c r="AG228" i="13"/>
  <c r="AG257" i="13"/>
  <c r="AG41" i="13"/>
  <c r="AG91" i="13"/>
  <c r="AG51" i="13"/>
  <c r="AG225" i="13"/>
  <c r="AG42" i="13"/>
  <c r="AG213" i="13"/>
  <c r="AG97" i="13"/>
  <c r="AG253" i="13"/>
  <c r="AG62" i="13"/>
  <c r="AG263" i="13"/>
  <c r="AG76" i="13"/>
  <c r="AG93" i="13"/>
  <c r="AG178" i="13"/>
  <c r="AG36" i="13"/>
  <c r="AG74" i="13"/>
  <c r="AG176" i="13"/>
  <c r="AG243" i="13"/>
  <c r="AG16" i="13"/>
  <c r="AG187" i="13"/>
  <c r="AG38" i="13"/>
  <c r="AG70" i="13"/>
  <c r="AG39" i="13"/>
  <c r="AG218" i="13"/>
  <c r="AG181" i="13"/>
  <c r="AG232" i="13"/>
  <c r="AG33" i="13"/>
  <c r="AG14" i="13"/>
  <c r="AG106" i="13"/>
  <c r="AG202" i="13"/>
  <c r="AG23" i="13"/>
  <c r="AG52" i="13"/>
  <c r="E12" i="19"/>
  <c r="E13" i="19" s="1"/>
  <c r="H18" i="26"/>
  <c r="AG252" i="13"/>
  <c r="AG17" i="13"/>
  <c r="AG21" i="13"/>
  <c r="AG24" i="13"/>
  <c r="V6" i="13"/>
  <c r="AE6" i="13" s="1"/>
  <c r="U6" i="13"/>
  <c r="AG73" i="13" l="1"/>
  <c r="AG221" i="13"/>
  <c r="AG179" i="13"/>
  <c r="AG227" i="13"/>
  <c r="AG183" i="13"/>
  <c r="AG231" i="13"/>
  <c r="AG180" i="13"/>
  <c r="AG175" i="13"/>
  <c r="AG15" i="13"/>
  <c r="AG212" i="13"/>
  <c r="AG248" i="13"/>
  <c r="AG224" i="13"/>
  <c r="AG44" i="13"/>
  <c r="AG191" i="13"/>
  <c r="AG65" i="13"/>
  <c r="AG155" i="13"/>
  <c r="AG83" i="13"/>
  <c r="AG222" i="13"/>
  <c r="AG185" i="13"/>
  <c r="AG192" i="13"/>
  <c r="AG234" i="13"/>
  <c r="AG31" i="13"/>
  <c r="AG240" i="13"/>
  <c r="AG18" i="13"/>
  <c r="AG258" i="13"/>
  <c r="AG239" i="13"/>
  <c r="AG174" i="13"/>
  <c r="AG104" i="13"/>
  <c r="AG75" i="13"/>
  <c r="AG32" i="13"/>
  <c r="AG88" i="13"/>
  <c r="AG207" i="13"/>
  <c r="AG199" i="13"/>
  <c r="AG215" i="13"/>
  <c r="AG260" i="13"/>
  <c r="AG261" i="13"/>
  <c r="AG66" i="13"/>
  <c r="AG37" i="13"/>
  <c r="AG10" i="13"/>
  <c r="AG86" i="13"/>
  <c r="AG53" i="13"/>
  <c r="AG195" i="13"/>
  <c r="AG69" i="13"/>
  <c r="AG245" i="13"/>
  <c r="AG236" i="13"/>
  <c r="AG54" i="13"/>
  <c r="AG255" i="13"/>
  <c r="AG190" i="13"/>
  <c r="AG22" i="13"/>
  <c r="AG84" i="13"/>
  <c r="AG210" i="13"/>
  <c r="AG45" i="13"/>
  <c r="AG200" i="13"/>
  <c r="AG25" i="13"/>
  <c r="AG246" i="13"/>
  <c r="AG30" i="13"/>
  <c r="AG100" i="13"/>
  <c r="AG60" i="13"/>
  <c r="AG112" i="13"/>
  <c r="AG133" i="13"/>
  <c r="AG158" i="13"/>
  <c r="AG145" i="13"/>
  <c r="AG144" i="13"/>
  <c r="AG130" i="13"/>
  <c r="AG136" i="13"/>
  <c r="AG111" i="13"/>
  <c r="AG219" i="13"/>
  <c r="AG152" i="13"/>
  <c r="AG149" i="13"/>
  <c r="AG142" i="13"/>
  <c r="AG115" i="13"/>
  <c r="AG127" i="13"/>
  <c r="AG108" i="13"/>
  <c r="AG61" i="13"/>
  <c r="AG107" i="13"/>
  <c r="AG122" i="13"/>
  <c r="AG151" i="13"/>
  <c r="AG156" i="13"/>
  <c r="AG153" i="13"/>
  <c r="AG147" i="13"/>
  <c r="AG170" i="13"/>
  <c r="AG169" i="13"/>
  <c r="AG172" i="13"/>
  <c r="AG166" i="13"/>
  <c r="AG118" i="13"/>
  <c r="AG116" i="13"/>
  <c r="AG101" i="13"/>
  <c r="AG57" i="13"/>
  <c r="AG20" i="13"/>
  <c r="AG165" i="13"/>
  <c r="AG138" i="13"/>
  <c r="AG129" i="13"/>
  <c r="AG134" i="13"/>
  <c r="AG163" i="13"/>
  <c r="AG154" i="13"/>
  <c r="AG92" i="13"/>
  <c r="AG125" i="13"/>
  <c r="AG59" i="13"/>
  <c r="AG117" i="13"/>
  <c r="AG114" i="13"/>
  <c r="AG124" i="13"/>
  <c r="AG137" i="13"/>
  <c r="AG160" i="13"/>
  <c r="AG131" i="13"/>
  <c r="AG171" i="13"/>
  <c r="AG132" i="13"/>
  <c r="AG161" i="13"/>
  <c r="AG167" i="13"/>
  <c r="AG47" i="13"/>
  <c r="AG123" i="13"/>
  <c r="AG121" i="13"/>
  <c r="AG119" i="13"/>
  <c r="AG113" i="13"/>
  <c r="AG164" i="13"/>
  <c r="AG162" i="13"/>
  <c r="AG135" i="13"/>
  <c r="AG128" i="13"/>
  <c r="AG150" i="13"/>
  <c r="AG148" i="13"/>
  <c r="AG146" i="13"/>
  <c r="AG89" i="13"/>
  <c r="AG46" i="13"/>
  <c r="AG109" i="13"/>
  <c r="AG58" i="13"/>
  <c r="AG110" i="13"/>
  <c r="AG5" i="13"/>
  <c r="AG139" i="13"/>
  <c r="AG141" i="13"/>
  <c r="AG168" i="13"/>
  <c r="AG159" i="13"/>
  <c r="AG143" i="13"/>
  <c r="AG259" i="13"/>
  <c r="AG251" i="13"/>
  <c r="AG233" i="13"/>
  <c r="AG99" i="13"/>
  <c r="AG78" i="13"/>
  <c r="AG81" i="13"/>
  <c r="AG214" i="13"/>
  <c r="AG35" i="13"/>
  <c r="AG206" i="13"/>
  <c r="AG262" i="13"/>
  <c r="AG79" i="13"/>
  <c r="AG34" i="13"/>
  <c r="AG102" i="13"/>
  <c r="AG211" i="13"/>
  <c r="AG90" i="13"/>
  <c r="AG13" i="13"/>
  <c r="AG184" i="13"/>
  <c r="AG55" i="13"/>
  <c r="AG241" i="13"/>
  <c r="AG80" i="13"/>
  <c r="AG205" i="13"/>
  <c r="AG229" i="13"/>
  <c r="AG9" i="13"/>
  <c r="AG40" i="13"/>
  <c r="AG103" i="13"/>
  <c r="AG43" i="13"/>
  <c r="AG209" i="13"/>
  <c r="AG242" i="13"/>
  <c r="AG26" i="13"/>
  <c r="AG105" i="13"/>
  <c r="W6" i="13"/>
  <c r="X6" i="13" l="1"/>
  <c r="AG6" i="13" s="1"/>
  <c r="AF6" i="13"/>
  <c r="D7" i="19" l="1"/>
  <c r="D8" i="19" s="1"/>
  <c r="G7" i="19" l="1"/>
  <c r="E7" i="19" l="1"/>
  <c r="E8" i="19" s="1"/>
  <c r="C12" i="19"/>
  <c r="F12" i="19" s="1"/>
  <c r="F13" i="19" s="1"/>
  <c r="G8" i="19"/>
  <c r="H7" i="19"/>
  <c r="F8" i="19" l="1"/>
  <c r="H8" i="19"/>
  <c r="C13" i="19"/>
  <c r="F7" i="19"/>
</calcChain>
</file>

<file path=xl/sharedStrings.xml><?xml version="1.0" encoding="utf-8"?>
<sst xmlns="http://schemas.openxmlformats.org/spreadsheetml/2006/main" count="2279" uniqueCount="731">
  <si>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</si>
  <si>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</si>
  <si>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</si>
  <si>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</si>
  <si>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</si>
  <si>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</si>
  <si>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</si>
  <si>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</si>
  <si>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</si>
  <si>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</si>
  <si>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</si>
  <si>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</si>
  <si>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</si>
  <si>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</si>
  <si>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</si>
  <si>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</si>
  <si>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</si>
  <si>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</si>
  <si>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</si>
  <si>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</si>
  <si>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</si>
  <si>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</si>
  <si>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</si>
  <si>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</si>
  <si>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</si>
  <si>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</si>
  <si>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</si>
  <si>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</si>
  <si>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</si>
  <si>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</si>
  <si>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Plaats</t>
  </si>
  <si>
    <t>Gebouw gedeelte</t>
  </si>
  <si>
    <t>Oppervlak (netto)</t>
  </si>
  <si>
    <t>Totaal</t>
  </si>
  <si>
    <t>Code</t>
  </si>
  <si>
    <t>Tariefsopbouw</t>
  </si>
  <si>
    <t>kosten / jaar</t>
  </si>
  <si>
    <t>uren / jaar</t>
  </si>
  <si>
    <t>Kantine</t>
  </si>
  <si>
    <t>Tapijt</t>
  </si>
  <si>
    <t>Vloer afwerking</t>
  </si>
  <si>
    <t>Entree</t>
  </si>
  <si>
    <t>Publieksruimte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</si>
  <si>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</si>
  <si>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</si>
  <si>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</si>
  <si>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</si>
  <si>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</si>
  <si>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</si>
  <si>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</si>
  <si>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</si>
  <si>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</si>
  <si>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</si>
  <si>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</si>
  <si>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</si>
  <si>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</si>
  <si>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</si>
  <si>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</si>
  <si>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</si>
  <si>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</si>
  <si>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Wastafel</t>
  </si>
  <si>
    <t>Magazijnen/bergingen</t>
  </si>
  <si>
    <t>Kantoren</t>
  </si>
  <si>
    <t>Reproruimte</t>
  </si>
  <si>
    <t>Vergader/spreekkamers</t>
  </si>
  <si>
    <t>Gangen/hallen</t>
  </si>
  <si>
    <t>Trappenhuizen/lift</t>
  </si>
  <si>
    <t>Keuken/pantry</t>
  </si>
  <si>
    <t>Kleedruimten</t>
  </si>
  <si>
    <t>Niet in onderhoud</t>
  </si>
  <si>
    <t>Postcode</t>
  </si>
  <si>
    <t>Adres</t>
  </si>
  <si>
    <t>Gymzaal</t>
  </si>
  <si>
    <t>Toestelberging</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</si>
  <si>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</si>
  <si>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</si>
  <si>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</si>
  <si>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</si>
  <si>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</si>
  <si>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</si>
  <si>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</si>
  <si>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</si>
  <si>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</si>
  <si>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</si>
  <si>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</si>
  <si>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</si>
  <si>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</si>
  <si>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</si>
  <si>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</si>
  <si>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</si>
  <si>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</si>
  <si>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</si>
  <si>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</si>
  <si>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</si>
  <si>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</si>
  <si>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</si>
  <si>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</si>
  <si>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</si>
  <si>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</si>
  <si>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</si>
  <si>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</si>
  <si>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</si>
  <si>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</si>
  <si>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Tarief 
excl. 21% BTW</t>
  </si>
  <si>
    <t>Tarief 
incl. 21% BTW</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</si>
  <si>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</si>
  <si>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</si>
  <si>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</si>
  <si>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</si>
  <si>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</si>
  <si>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</si>
  <si>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</si>
  <si>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</si>
  <si>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</si>
  <si>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</si>
  <si>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</si>
  <si>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</si>
  <si>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</si>
  <si>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</si>
  <si>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Harde vloeren zonder zonder extra behandeling, zoals steen, beton e.d.</t>
  </si>
  <si>
    <t>Vloeren zonder beschermlaag, die wel behandeling nodig hebben, zoals pvc e.d.</t>
  </si>
  <si>
    <t>Aanpassing standaardnorm o.b.v. frequentie</t>
  </si>
  <si>
    <t>Frequentie omschrijving</t>
  </si>
  <si>
    <t>2,5w</t>
  </si>
  <si>
    <t>2,5 x per week (om-de-dag)</t>
  </si>
  <si>
    <t>Prestatie</t>
  </si>
  <si>
    <t>Etage</t>
  </si>
  <si>
    <t>Ruimte- nummer</t>
  </si>
  <si>
    <t>Ruimtesoort</t>
  </si>
  <si>
    <t>Vloer code</t>
  </si>
  <si>
    <t>Frequentie werkdagen</t>
  </si>
  <si>
    <t>Frequentie weekend</t>
  </si>
  <si>
    <t>Aantal weken/jr</t>
  </si>
  <si>
    <t>Norm (m2/uur)</t>
  </si>
  <si>
    <t>Prest. (m2 /jaar)</t>
  </si>
  <si>
    <t>Steen</t>
  </si>
  <si>
    <t>PVC</t>
  </si>
  <si>
    <t>Pantry</t>
  </si>
  <si>
    <t>Naam</t>
  </si>
  <si>
    <t>Lino</t>
  </si>
  <si>
    <t>Oppervlakte n.i.o.</t>
  </si>
  <si>
    <t>Opmerking</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</si>
  <si>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</si>
  <si>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</si>
  <si>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</si>
  <si>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</si>
  <si>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</si>
  <si>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</si>
  <si>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</si>
  <si>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</si>
  <si>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</si>
  <si>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</si>
  <si>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</si>
  <si>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Kosten/jaar excl. BTW</t>
  </si>
  <si>
    <t>Eenheid</t>
  </si>
  <si>
    <t>Prijs</t>
  </si>
  <si>
    <t>Werkzaamheden</t>
  </si>
  <si>
    <t>Prijs per m2 per beurt, incl. in- en uitruimen</t>
  </si>
  <si>
    <t>Prijs per m2 per beurt, incl. in- en uitruimen, minimaal 2 lagen, kruislings</t>
  </si>
  <si>
    <t>Tapijtreinigen, sproei-extractiemethode</t>
  </si>
  <si>
    <t>Tapijtreinigen, poedermethode</t>
  </si>
  <si>
    <t>Vloersoort</t>
  </si>
  <si>
    <t>Oppervlakte</t>
  </si>
  <si>
    <t>Sprayen/opblokken</t>
  </si>
  <si>
    <t>Topstrippen en conserveren</t>
  </si>
  <si>
    <t>Diepstrippen, sealen en conserveren</t>
  </si>
  <si>
    <t>Schuren en lakken houten vloer</t>
  </si>
  <si>
    <t>Frequentie (uitv./jaar)</t>
  </si>
  <si>
    <t>Handmatig schrobben en droogzuigen</t>
  </si>
  <si>
    <t>Vloeronderhoud</t>
  </si>
  <si>
    <t>Ruimtestaat</t>
  </si>
  <si>
    <t>Oppervlakte i/o</t>
  </si>
  <si>
    <t>Uren / jaar</t>
  </si>
  <si>
    <t>Kosten / jaar</t>
  </si>
  <si>
    <t>Kosten / m2</t>
  </si>
  <si>
    <t>Vloeronderhoud
Kosten / jaar</t>
  </si>
  <si>
    <t>Extra Werkzaamheden
Kosten / jaar</t>
  </si>
  <si>
    <t>Totalisatie (excl. BTW)</t>
  </si>
  <si>
    <t>Kolom1</t>
  </si>
  <si>
    <t>Schoonmaakonderhoud
Kosten / jaar</t>
  </si>
  <si>
    <t>Prijs excl. BTW</t>
  </si>
  <si>
    <t>Extra Werkzaamheden</t>
  </si>
  <si>
    <t xml:space="preserve">Aan genoemde aantallen kunnen geen rechten worden ontleend. </t>
  </si>
  <si>
    <t>Prijs
Excl. BTW</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</si>
  <si>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</si>
  <si>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</si>
  <si>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</si>
  <si>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</si>
  <si>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</si>
  <si>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</si>
  <si>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Servicewerkzaamheden (eenvoudige facilitaire dienstverlening, gastheer/-vrouw etc,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</si>
  <si>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</si>
  <si>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</si>
  <si>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</si>
  <si>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</si>
  <si>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</si>
  <si>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</si>
  <si>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</si>
  <si>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Prijs per stuk per jaar</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</si>
  <si>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</si>
  <si>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</si>
  <si>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</si>
  <si>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</si>
  <si>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</si>
  <si>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</si>
  <si>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Natuursteen conserveren, bijv. marmer, travertin of leisteen</t>
  </si>
  <si>
    <t>Textiel reinigen</t>
  </si>
  <si>
    <t>Dieptereiniging sanitair</t>
  </si>
  <si>
    <t>Fantomatten sanitaire ruimte</t>
  </si>
  <si>
    <t>Stoomreinigen sanitaire ruimte</t>
  </si>
  <si>
    <t>Klein technisch onderhoud, verhelpen techische gebreken</t>
  </si>
  <si>
    <t>Wanden en plafonds</t>
  </si>
  <si>
    <t>Matten</t>
  </si>
  <si>
    <t>Schoonloopmat klein (85x150) incl. levering en tweewekelijks wisselen</t>
  </si>
  <si>
    <t>Schoonloopmat middel (115x150) incl. levering en tweewekelijks wisselen</t>
  </si>
  <si>
    <t>Schoonloopmat groot (150x200) incl. levering en tweewekelijks wisselen</t>
  </si>
  <si>
    <t>Toelichting</t>
  </si>
  <si>
    <t>Aantal per uitvoering</t>
  </si>
  <si>
    <t>Kolom2</t>
  </si>
  <si>
    <t>Inspectiecategorie</t>
  </si>
  <si>
    <t>Gemiddeld brutoloon</t>
  </si>
  <si>
    <t>Code Locatie</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</si>
  <si>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</si>
  <si>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</si>
  <si>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</si>
  <si>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</si>
  <si>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</si>
  <si>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Totaalprijs
Kosten / jaar</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</si>
  <si>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</si>
  <si>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</si>
  <si>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</si>
  <si>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</si>
  <si>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</si>
  <si>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</si>
  <si>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</si>
  <si>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</si>
  <si>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</si>
  <si>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</si>
  <si>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</si>
  <si>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r>
      <t>Alle groen gearceerde velden dienen ingevuld te worden, overige cellen mogen niet gewijzigd worden (</t>
    </r>
    <r>
      <rPr>
        <sz val="9"/>
        <rFont val="Verdana"/>
        <family val="2"/>
      </rPr>
      <t>m.u.v. de tabel Rechtsgeldige Ondertekening), waar alle stippellijnen ingevuld dienen te worden)</t>
    </r>
  </si>
  <si>
    <t>……………</t>
  </si>
  <si>
    <t>Kooklokaal/leskeuken</t>
  </si>
  <si>
    <t>HV/Technieklokaal</t>
  </si>
  <si>
    <t>Leslokalen theorie</t>
  </si>
  <si>
    <t>Praktijklokalen binas/zorg</t>
  </si>
  <si>
    <t>Mediatheek / OLC</t>
  </si>
  <si>
    <t>V  (Verkeersruimte)</t>
  </si>
  <si>
    <t>S  (Sanitair)</t>
  </si>
  <si>
    <t>L  (Lesruimte)</t>
  </si>
  <si>
    <t>B  (Bureauruimte)</t>
  </si>
  <si>
    <t>Sp  (Sportruimte)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</si>
  <si>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</si>
  <si>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</si>
  <si>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</si>
  <si>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</si>
  <si>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Frequentie (uitv. per jaar)</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</si>
  <si>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</si>
  <si>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</si>
  <si>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</si>
  <si>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</si>
  <si>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</si>
  <si>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</si>
  <si>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</si>
  <si>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</si>
  <si>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Amstelveen</t>
  </si>
  <si>
    <t>Sportlaan 27</t>
  </si>
  <si>
    <t>Amstelveen College</t>
  </si>
  <si>
    <t>1185 TB</t>
  </si>
  <si>
    <t>heren</t>
  </si>
  <si>
    <t>dames</t>
  </si>
  <si>
    <t>MIVA</t>
  </si>
  <si>
    <t>Gietvloer</t>
  </si>
  <si>
    <t>1e</t>
  </si>
  <si>
    <t>2e</t>
  </si>
  <si>
    <t>3e</t>
  </si>
  <si>
    <t>Beton</t>
  </si>
  <si>
    <t>2001</t>
  </si>
  <si>
    <t>2002</t>
  </si>
  <si>
    <t>2003</t>
  </si>
  <si>
    <t>2004</t>
  </si>
  <si>
    <t>2008</t>
  </si>
  <si>
    <t>2009</t>
  </si>
  <si>
    <t>2010</t>
  </si>
  <si>
    <t>2011</t>
  </si>
  <si>
    <t>2012</t>
  </si>
  <si>
    <t>2013</t>
  </si>
  <si>
    <t>2014</t>
  </si>
  <si>
    <t>2015</t>
  </si>
  <si>
    <t>2017</t>
  </si>
  <si>
    <t>2019</t>
  </si>
  <si>
    <t>2016</t>
  </si>
  <si>
    <t>2018</t>
  </si>
  <si>
    <t>2020</t>
  </si>
  <si>
    <t>2022</t>
  </si>
  <si>
    <t>2022a</t>
  </si>
  <si>
    <t>2022b</t>
  </si>
  <si>
    <t>2027a</t>
  </si>
  <si>
    <t>2027b</t>
  </si>
  <si>
    <t xml:space="preserve">2027c </t>
  </si>
  <si>
    <t>2027</t>
  </si>
  <si>
    <t>2024</t>
  </si>
  <si>
    <t>2026</t>
  </si>
  <si>
    <t>2025</t>
  </si>
  <si>
    <t>2041</t>
  </si>
  <si>
    <t>2042</t>
  </si>
  <si>
    <t>2043</t>
  </si>
  <si>
    <t>2044</t>
  </si>
  <si>
    <t>2045</t>
  </si>
  <si>
    <t>2048</t>
  </si>
  <si>
    <t>2053</t>
  </si>
  <si>
    <t>2052</t>
  </si>
  <si>
    <t>2054</t>
  </si>
  <si>
    <t>2051</t>
  </si>
  <si>
    <t>2050</t>
  </si>
  <si>
    <t>2040</t>
  </si>
  <si>
    <t>2039</t>
  </si>
  <si>
    <t>2038</t>
  </si>
  <si>
    <t>2037</t>
  </si>
  <si>
    <t>2036</t>
  </si>
  <si>
    <t>2035</t>
  </si>
  <si>
    <t>2034</t>
  </si>
  <si>
    <t>2033</t>
  </si>
  <si>
    <t>2032</t>
  </si>
  <si>
    <t>spreekkamer</t>
  </si>
  <si>
    <t>2 naar 3</t>
  </si>
  <si>
    <t>3001</t>
  </si>
  <si>
    <t>3002</t>
  </si>
  <si>
    <t>3003</t>
  </si>
  <si>
    <t>3004</t>
  </si>
  <si>
    <t>3005</t>
  </si>
  <si>
    <t>3007</t>
  </si>
  <si>
    <t>3008</t>
  </si>
  <si>
    <t>3009</t>
  </si>
  <si>
    <t>3010</t>
  </si>
  <si>
    <t>3011</t>
  </si>
  <si>
    <t>3012</t>
  </si>
  <si>
    <t>3013</t>
  </si>
  <si>
    <t>3014</t>
  </si>
  <si>
    <t>3016</t>
  </si>
  <si>
    <t>3017 en 3021</t>
  </si>
  <si>
    <t>3015</t>
  </si>
  <si>
    <t>3020</t>
  </si>
  <si>
    <t>3018</t>
  </si>
  <si>
    <t>3022</t>
  </si>
  <si>
    <t>3024</t>
  </si>
  <si>
    <t>3030</t>
  </si>
  <si>
    <t>3028</t>
  </si>
  <si>
    <t>3031</t>
  </si>
  <si>
    <t>3033</t>
  </si>
  <si>
    <t>3034</t>
  </si>
  <si>
    <t>3035</t>
  </si>
  <si>
    <t>3036</t>
  </si>
  <si>
    <t>3025</t>
  </si>
  <si>
    <t>3037</t>
  </si>
  <si>
    <t>3038</t>
  </si>
  <si>
    <t>3039</t>
  </si>
  <si>
    <t>3040</t>
  </si>
  <si>
    <t>3041</t>
  </si>
  <si>
    <t>3042</t>
  </si>
  <si>
    <t>3045</t>
  </si>
  <si>
    <t>3046</t>
  </si>
  <si>
    <t>3047</t>
  </si>
  <si>
    <t>3048</t>
  </si>
  <si>
    <t>3049</t>
  </si>
  <si>
    <t>3050</t>
  </si>
  <si>
    <t>Noodlokaal</t>
  </si>
  <si>
    <t>bg</t>
  </si>
  <si>
    <t>Berging</t>
  </si>
  <si>
    <t>Lokaal</t>
  </si>
  <si>
    <t>Gang</t>
  </si>
  <si>
    <t>Werkkast</t>
  </si>
  <si>
    <t>Leslokaal</t>
  </si>
  <si>
    <t>Opslag</t>
  </si>
  <si>
    <t>Hal</t>
  </si>
  <si>
    <t>Lift</t>
  </si>
  <si>
    <t>Kantoor</t>
  </si>
  <si>
    <t>Personeelsruimte</t>
  </si>
  <si>
    <t>Mediatheek</t>
  </si>
  <si>
    <t>Balkon</t>
  </si>
  <si>
    <t>schoonloopmat</t>
  </si>
  <si>
    <t>Hoofdentree hogedrukreinigen (betonnen trap)</t>
  </si>
  <si>
    <t>Aan genoemde aantallen kunnen geen rechten worden ontleend. Werkzaamheden worden enkel in overleg met en na opdracht van Opdrachtgever uitgevoerd.</t>
  </si>
  <si>
    <t>Per uitv.</t>
  </si>
  <si>
    <t>Per stuk/uitv.</t>
  </si>
  <si>
    <t>Alle buitenentrees (betonnen trappen) wekelijks vegen</t>
  </si>
  <si>
    <t>Buitenentree</t>
  </si>
  <si>
    <r>
      <t>Betreft zes betonnen trappen met elk 22 treden, een middenplateau van 2,5 bij 2,5 meter en een balkon van +/- 175 m</t>
    </r>
    <r>
      <rPr>
        <vertAlign val="superscript"/>
        <sz val="9"/>
        <rFont val="Verdana"/>
        <family val="2"/>
      </rPr>
      <t>2</t>
    </r>
  </si>
  <si>
    <t>Schoonmaakonderhoud kleedkamers korfbalvereniging</t>
  </si>
  <si>
    <t>0.001</t>
  </si>
  <si>
    <t>0.002</t>
  </si>
  <si>
    <t>0.003</t>
  </si>
  <si>
    <t>0.004</t>
  </si>
  <si>
    <t>0.005</t>
  </si>
  <si>
    <t>0.006</t>
  </si>
  <si>
    <t>0.007</t>
  </si>
  <si>
    <t>0.008</t>
  </si>
  <si>
    <t>0.009</t>
  </si>
  <si>
    <t>Gecombineerd laboratorium</t>
  </si>
  <si>
    <t>Container berging</t>
  </si>
  <si>
    <t>0.011</t>
  </si>
  <si>
    <t>0.012</t>
  </si>
  <si>
    <t>0.014</t>
  </si>
  <si>
    <t>0.015</t>
  </si>
  <si>
    <t>0.017</t>
  </si>
  <si>
    <t>0.018</t>
  </si>
  <si>
    <t>0.019</t>
  </si>
  <si>
    <t>0.020</t>
  </si>
  <si>
    <t>0.021</t>
  </si>
  <si>
    <t>0.023</t>
  </si>
  <si>
    <t>0.024</t>
  </si>
  <si>
    <t>0.025</t>
  </si>
  <si>
    <t>Bergplek</t>
  </si>
  <si>
    <t>Multifunctionele werkplekken</t>
  </si>
  <si>
    <t>0.029</t>
  </si>
  <si>
    <t>0.033</t>
  </si>
  <si>
    <t>0.034</t>
  </si>
  <si>
    <t>0.035</t>
  </si>
  <si>
    <t>0.032</t>
  </si>
  <si>
    <t>0.036</t>
  </si>
  <si>
    <t>0.037</t>
  </si>
  <si>
    <t>0.038</t>
  </si>
  <si>
    <t>0.039</t>
  </si>
  <si>
    <t>0.040</t>
  </si>
  <si>
    <t>0.041</t>
  </si>
  <si>
    <t>0.031</t>
  </si>
  <si>
    <t>0.045</t>
  </si>
  <si>
    <t>0.046</t>
  </si>
  <si>
    <t>0.047</t>
  </si>
  <si>
    <t>0.048</t>
  </si>
  <si>
    <t>0.049</t>
  </si>
  <si>
    <t>0.051</t>
  </si>
  <si>
    <t>0.052</t>
  </si>
  <si>
    <t>Vluchttrap</t>
  </si>
  <si>
    <t>Tekenen</t>
  </si>
  <si>
    <t>Muziek</t>
  </si>
  <si>
    <t>Magazijn algemeen en audio</t>
  </si>
  <si>
    <t>Magazijn</t>
  </si>
  <si>
    <t>Handvaardigheid</t>
  </si>
  <si>
    <t>Zittribune</t>
  </si>
  <si>
    <t>Centrale hal</t>
  </si>
  <si>
    <t>0.052A</t>
  </si>
  <si>
    <t>Buitenberging</t>
  </si>
  <si>
    <t>0.050B</t>
  </si>
  <si>
    <t>0.055</t>
  </si>
  <si>
    <t>0.056A</t>
  </si>
  <si>
    <t>0.056B</t>
  </si>
  <si>
    <t>0.056C</t>
  </si>
  <si>
    <t>0.057</t>
  </si>
  <si>
    <t>0.056D</t>
  </si>
  <si>
    <t>Invoer water</t>
  </si>
  <si>
    <t>Invoer gas</t>
  </si>
  <si>
    <t>Hydrofoor + Watermeters</t>
  </si>
  <si>
    <t>Fietsenstalling docenten</t>
  </si>
  <si>
    <t>Tochtportaal</t>
  </si>
  <si>
    <t>Trap</t>
  </si>
  <si>
    <t>gang bij 2035</t>
  </si>
  <si>
    <t>BG</t>
  </si>
  <si>
    <t>Verdeler E. inst</t>
  </si>
  <si>
    <t>0.048a</t>
  </si>
  <si>
    <t>u0.008</t>
  </si>
  <si>
    <t>u0.005</t>
  </si>
  <si>
    <t>werkruimte/overlegruimte/chillruimte</t>
  </si>
  <si>
    <t>u0.004</t>
  </si>
  <si>
    <t>Pauze eb studieruimte zaktheater collegezaal</t>
  </si>
  <si>
    <t>Toilet heren</t>
  </si>
  <si>
    <t>Toilet dames</t>
  </si>
  <si>
    <t>0.042</t>
  </si>
  <si>
    <t>0.042A</t>
  </si>
  <si>
    <t>Berging algemeen</t>
  </si>
  <si>
    <t>Kast</t>
  </si>
  <si>
    <t>Waterpomp/installaties</t>
  </si>
  <si>
    <t>u0.032</t>
  </si>
  <si>
    <t>Oefenruimte/studio</t>
  </si>
  <si>
    <t>u0.031</t>
  </si>
  <si>
    <t>u0.030</t>
  </si>
  <si>
    <t>u0.007</t>
  </si>
  <si>
    <t>u0.003</t>
  </si>
  <si>
    <t>u0.002</t>
  </si>
  <si>
    <t>u0.001</t>
  </si>
  <si>
    <t>instructie/demonstratieruimte</t>
  </si>
  <si>
    <t>u0.029</t>
  </si>
  <si>
    <t>u0.016</t>
  </si>
  <si>
    <t>installatieruimte</t>
  </si>
  <si>
    <t>u0.018</t>
  </si>
  <si>
    <t>gang</t>
  </si>
  <si>
    <t>u0.017</t>
  </si>
  <si>
    <t>u0.022</t>
  </si>
  <si>
    <t>u0.027</t>
  </si>
  <si>
    <t>u0.026</t>
  </si>
  <si>
    <t>u0.019</t>
  </si>
  <si>
    <t>u0.025</t>
  </si>
  <si>
    <t>u0.024</t>
  </si>
  <si>
    <t>Lokaal/werkruimte</t>
  </si>
  <si>
    <t>u0.020</t>
  </si>
  <si>
    <t>werkruimte/overlegruimte</t>
  </si>
  <si>
    <t>u0.023</t>
  </si>
  <si>
    <t>u0.013</t>
  </si>
  <si>
    <t>u0.015</t>
  </si>
  <si>
    <t>Docenten</t>
  </si>
  <si>
    <t>u0.021</t>
  </si>
  <si>
    <t>Spreekkamer/kantoor</t>
  </si>
  <si>
    <t>u0.014</t>
  </si>
  <si>
    <t>u0.012</t>
  </si>
  <si>
    <t>Miva toilet</t>
  </si>
  <si>
    <t>u0.011</t>
  </si>
  <si>
    <t>u0.006</t>
  </si>
  <si>
    <t>u0.010</t>
  </si>
  <si>
    <t>u0.009</t>
  </si>
  <si>
    <t>0.051a</t>
  </si>
  <si>
    <t>1.024a</t>
  </si>
  <si>
    <t>0.8</t>
  </si>
  <si>
    <t>1.015A</t>
  </si>
  <si>
    <t>Tochtsluis</t>
  </si>
  <si>
    <t>Loungeplek</t>
  </si>
  <si>
    <t>Afd. manager</t>
  </si>
  <si>
    <t>Opvang strafleerlingen/inhaalplek</t>
  </si>
  <si>
    <t>0.9</t>
  </si>
  <si>
    <t>Miva</t>
  </si>
  <si>
    <t>Tech. Ruimte SER</t>
  </si>
  <si>
    <t>Uitgifte balie</t>
  </si>
  <si>
    <t>Keuken</t>
  </si>
  <si>
    <t>Aula</t>
  </si>
  <si>
    <t>u1.007</t>
  </si>
  <si>
    <t>Vrij indeelbare werk/onderwijsruimte</t>
  </si>
  <si>
    <t>u1.001</t>
  </si>
  <si>
    <t>Medialab - Digikunde</t>
  </si>
  <si>
    <t>u1.004</t>
  </si>
  <si>
    <t>u1.006</t>
  </si>
  <si>
    <t>u1.005</t>
  </si>
  <si>
    <t>u1.003</t>
  </si>
  <si>
    <t>Makerslab</t>
  </si>
  <si>
    <t>u1.002</t>
  </si>
  <si>
    <t>Medialab - informatica</t>
  </si>
  <si>
    <t>u1.008</t>
  </si>
  <si>
    <t>Berging aula</t>
  </si>
  <si>
    <t>Trapje</t>
  </si>
  <si>
    <t>Podium</t>
  </si>
  <si>
    <t>0.5</t>
  </si>
  <si>
    <t>0.6</t>
  </si>
  <si>
    <t>0.7</t>
  </si>
  <si>
    <t>Oefenruimte</t>
  </si>
  <si>
    <t>Trajectvoorziening</t>
  </si>
  <si>
    <t>Decanaat</t>
  </si>
  <si>
    <t>1.028A</t>
  </si>
  <si>
    <t>Spreekkamer</t>
  </si>
  <si>
    <t>Receptie/info leerlingen</t>
  </si>
  <si>
    <t>Directie</t>
  </si>
  <si>
    <t>Secretariaat/administratie</t>
  </si>
  <si>
    <t>Vergaderruimte</t>
  </si>
  <si>
    <t>Teamkamer</t>
  </si>
  <si>
    <t>1.057a</t>
  </si>
  <si>
    <t>Portaal</t>
  </si>
  <si>
    <t>1.053A</t>
  </si>
  <si>
    <t>Bestuurrssecretaris</t>
  </si>
  <si>
    <t>Spreekplek</t>
  </si>
  <si>
    <t>Financiën</t>
  </si>
  <si>
    <t>Beheer en beleid</t>
  </si>
  <si>
    <t>Systeembeheer</t>
  </si>
  <si>
    <t>server/magazijn ICT</t>
  </si>
  <si>
    <t>Roosterkamer</t>
  </si>
  <si>
    <t>Archief</t>
  </si>
  <si>
    <t>Repro</t>
  </si>
  <si>
    <t>0.3</t>
  </si>
  <si>
    <t>Tech. Ruimte</t>
  </si>
  <si>
    <t>Appl. Beheer</t>
  </si>
  <si>
    <t>Berigng / repro</t>
  </si>
  <si>
    <t>Zorgcoördinator</t>
  </si>
  <si>
    <t>0.4</t>
  </si>
  <si>
    <t>Concierge</t>
  </si>
  <si>
    <t>1.024b</t>
  </si>
  <si>
    <t>Hout</t>
  </si>
  <si>
    <t>Door cateraar</t>
  </si>
  <si>
    <t>Indexatie</t>
  </si>
  <si>
    <t>Soort indexatie</t>
  </si>
  <si>
    <t>Percentage</t>
  </si>
  <si>
    <t>Tarief excl btw</t>
  </si>
  <si>
    <t>CAO</t>
  </si>
  <si>
    <t>CBS index</t>
  </si>
  <si>
    <t>Gemiddelde
indexering</t>
  </si>
  <si>
    <t>2028</t>
  </si>
  <si>
    <t>Opleverstaat schoonmaak</t>
  </si>
  <si>
    <t>Element</t>
  </si>
  <si>
    <t>Onderdeel</t>
  </si>
  <si>
    <t>Reinheidsniveau</t>
  </si>
  <si>
    <t>Acceptabel</t>
  </si>
  <si>
    <t>(dagelijks toegestane afwijking)</t>
  </si>
  <si>
    <t>Inventaris :</t>
  </si>
  <si>
    <t>Algemeen</t>
  </si>
  <si>
    <t>Alle inventarisonderdelen dienen vrij te zijn van: stickers, lijmresten en kauwgom.</t>
  </si>
  <si>
    <t xml:space="preserve">Aanrechtblad </t>
  </si>
  <si>
    <t>Geheel buitenzijde</t>
  </si>
  <si>
    <t>Stof-, vlek-, aanslag en streepvrij</t>
  </si>
  <si>
    <t>Lichte stofvorming, enkele vingertasten en zichtbare vlekken max. 1 tot 3 st.</t>
  </si>
  <si>
    <t>Audiovisuele middelen</t>
  </si>
  <si>
    <t>Lichte stofvorming bovenzijde</t>
  </si>
  <si>
    <t>Afvalbak/prullenbak</t>
  </si>
  <si>
    <t>Inhoud, plastic zak</t>
  </si>
  <si>
    <t>Inhoud geleegd, schone plastic zak aanwezig. Afwezigheid van fruitvliegjes</t>
  </si>
  <si>
    <t>Lichte stofvorming, enkele vinger tasten of kleine zichtbare vlekken max 3 tot 7 st.</t>
  </si>
  <si>
    <t>Geheel</t>
  </si>
  <si>
    <t>Stof-, vlek-, aanslag en streepvrij. Afwezigheid van fruitvliegjes.</t>
  </si>
  <si>
    <t>Afval</t>
  </si>
  <si>
    <t>Afgevoerd naar containers</t>
  </si>
  <si>
    <t>Balie</t>
  </si>
  <si>
    <t>Enkele vinger tasten of kleine zichtbare vlekken max 1 tot 3 st.</t>
  </si>
  <si>
    <t>Brandblusapparatuur</t>
  </si>
  <si>
    <t>Lichte stofvorming</t>
  </si>
  <si>
    <t>Bureau/Tafel/Incl. onderlegger</t>
  </si>
  <si>
    <t>Enkele vinger tasten of kleine zichtbare vlekken, max. 3 tot 7 st.</t>
  </si>
  <si>
    <t>Bureaulamp</t>
  </si>
  <si>
    <t>Enkele vinger tasten of kleine zichtbare vlekken, max. 3 tot 7 st., lichte stofvorming op voetlamp</t>
  </si>
  <si>
    <t>Kapstok/Garderoberek</t>
  </si>
  <si>
    <t>Lichte stofvorming, enkele vinger tasten en zichtbare vlekken max. 1 tot 3 st.</t>
  </si>
  <si>
    <t>Kast hoog</t>
  </si>
  <si>
    <t>Lichte stofvorming bovenzijde, enkele vinger tasten of kleine zichtbare vlekken max 3 tot 7 st.</t>
  </si>
  <si>
    <t>Kast laag/Ladenblok</t>
  </si>
  <si>
    <t>Enkele vinger tasten of kleine zichtbare vlekken, max. 3 tot 7 st</t>
  </si>
  <si>
    <t>Lampen</t>
  </si>
  <si>
    <t>Locker</t>
  </si>
  <si>
    <t>Papierbak</t>
  </si>
  <si>
    <t>Inhoud</t>
  </si>
  <si>
    <t>Inhoud geleegd, stof en vlekvrij</t>
  </si>
  <si>
    <t>PC, incl. toebehoren</t>
  </si>
  <si>
    <t>Lichte stofvorming bovenzijde, enkele vinger tasten en kleine zichtbare vlekken max. 1 tot 3 st.</t>
  </si>
  <si>
    <t>Plantenbak</t>
  </si>
  <si>
    <t>Enkele vinger tasten of kleine zichtbare vlekken max. 3 tot 7 st., enkele schopstrepen max. 3 tot 7 st.</t>
  </si>
  <si>
    <t>Plinten/kabelgoten</t>
  </si>
  <si>
    <t>Lichte stofvorming bovenzijde, enkele vinger tasten of zichtbare vlekken max 7 tot 10 st., enkele schopstrepen max. 3 tot 7 st</t>
  </si>
  <si>
    <t>Printer/copier</t>
  </si>
  <si>
    <t>Stoel/bank/kruk</t>
  </si>
  <si>
    <t>Licht stofvorming in naden, enkele vinger tasten of kleine zichtbare vlekken max. 3 tot 7 st. op achterzijde leuning</t>
  </si>
  <si>
    <t>Telefoon</t>
  </si>
  <si>
    <t>Vitrinekast</t>
  </si>
  <si>
    <t>Whiteboard/Schoolbord/Krijtrichel</t>
  </si>
  <si>
    <t>Bouwdelen :</t>
  </si>
  <si>
    <t>Alle bouwdelen dienen vrij te zijn van: stickers, lijmresten en kauwgom.</t>
  </si>
  <si>
    <t>Deur/deurglas</t>
  </si>
  <si>
    <t>Enkele vinger tasten of kleine zichtbare vlekken max. 7 tot 10 stuks, enkele schopstrepen max. 1 tot 3 st.</t>
  </si>
  <si>
    <t>Separatieglas</t>
  </si>
  <si>
    <t>Enkele vinger tasten of kleine zichtbare vlekken max. 3 tot 7 st.</t>
  </si>
  <si>
    <t>Kabelgoot</t>
  </si>
  <si>
    <t>Lichte stofvorming bovenzijde, enkele vinger tasten of zichtbare vlekken max 7 tot 10 st., enkele schopstrepen max. 3 tot 7 st.</t>
  </si>
  <si>
    <t>Lichtknop/contact/</t>
  </si>
  <si>
    <t>Lichte stofvorming bovenzijde, enkele vinger tasten of kleine zichtbare vlekken max 1 tot 3 st.</t>
  </si>
  <si>
    <t>Plafond</t>
  </si>
  <si>
    <t>Geen zichtbare spinrag, lichte stofvorming en kleine zichtbare vlekken max. 3 stuks</t>
  </si>
  <si>
    <t>Plafond rooster</t>
  </si>
  <si>
    <t>Radiator/convectorkast/paneel</t>
  </si>
  <si>
    <t>Randen</t>
  </si>
  <si>
    <t>Enkele vinger tasten of kleine zichtbare vlekken max. 1 tot 3 st., enkele schopstrepen max. 1 tot 3 st</t>
  </si>
  <si>
    <t>Richels</t>
  </si>
  <si>
    <t>Lichte stofvorming, enkele vinger tasten of kleine zichtbare vlekken max. 3 tot 7 st., enkele schopstrepen max. 3 tot 7 st.</t>
  </si>
  <si>
    <t>Trapleuning / balustrade</t>
  </si>
  <si>
    <t>Lichte stofvorming bovenzijde, enkele vinger tasten of kleine zichtbare vlekken max 1 tot 3 st</t>
  </si>
  <si>
    <t>Vensterbank</t>
  </si>
  <si>
    <t>Ventilatierooster</t>
  </si>
  <si>
    <t>Verlichtingsarmatuur en buizen &lt; 2.00 m</t>
  </si>
  <si>
    <t>Buitenzijde entree</t>
  </si>
  <si>
    <t>Grofvuil-, stof-, vlek-, aanslag en streepvrij</t>
  </si>
  <si>
    <t>Geen losliggend en/of zichtbaar vuil en enkele zichtbare vlekken max 8 st</t>
  </si>
  <si>
    <t>Wanden</t>
  </si>
  <si>
    <t>Enkele vingertasten of kleine zichtbare vlekken max. 3 tot 7 st., enkele schopstrepen max. 3 tot 7 st., geen vlekken en schopstrepen tot om 3,5m hoogte</t>
  </si>
  <si>
    <t>Sanitaire elementen:</t>
  </si>
  <si>
    <t xml:space="preserve">Alle sanitaire elementen dienen vrij te zijn van: stickers, lijmresten, kauwgom, zeepresten en huidvetten. </t>
  </si>
  <si>
    <t>Aut. handdoek/zeep/lucht</t>
  </si>
  <si>
    <t>Stof-, vlek-, aanslag en streepvrij en bijgevuld</t>
  </si>
  <si>
    <t>Lichte stofvorming bovenzijde, enkele vinger tasten of zichtbare vlekken max. 3 tot 7 st.</t>
  </si>
  <si>
    <t>Borstel- en borstelhouder</t>
  </si>
  <si>
    <t>Lichte stofvorming bovenzijde, enkele vinger tasten of zichtbare vlekken max. 7 tot 10 st</t>
  </si>
  <si>
    <t>Doorspoelinstallatie</t>
  </si>
  <si>
    <t>Enkele vinger tasten of zichtbare vlekken max. 1 tot 3 st.</t>
  </si>
  <si>
    <t>Kalkvrij</t>
  </si>
  <si>
    <t>Handgreep/steun</t>
  </si>
  <si>
    <t>Hygienebox</t>
  </si>
  <si>
    <t>Schaam-tussenschot</t>
  </si>
  <si>
    <t>Spiegel</t>
  </si>
  <si>
    <t>Enkele vinger tasten of kleine zichtbare vlekken, max. 1 tot 3 st. Enkele waterdruppels toegestaan.</t>
  </si>
  <si>
    <t>Toiletpot-bril/Urinoir/Doorspoelinst.</t>
  </si>
  <si>
    <t>Enkele zichtbare vlekken max. 3 tot 7 st.</t>
  </si>
  <si>
    <t>Toiletrolhouder</t>
  </si>
  <si>
    <t>Lichte stofvorming bovenzijde, enkele vinger tasten of zichtbare vlekken max. 7 tot 10 st.</t>
  </si>
  <si>
    <t>Wand sanitair/Planchet</t>
  </si>
  <si>
    <t>Stof-, vlek-, aanslag en streepvrij. Geen zeepresten</t>
  </si>
  <si>
    <t>Vloer :</t>
  </si>
  <si>
    <t>Alle vloeren dienen vrij te zijn van stickers, lijmresten en kauwgom</t>
  </si>
  <si>
    <t>Harde vloeren (steen / pvc)</t>
  </si>
  <si>
    <t>Bureaukamers</t>
  </si>
  <si>
    <t>Grofvuil-, stof-, vlek-, aanslag en streepvrij. Geen schopstrepen</t>
  </si>
  <si>
    <t>Leslokalen</t>
  </si>
  <si>
    <t>Verkeersruimte</t>
  </si>
  <si>
    <t xml:space="preserve">Geen losliggend en/of zichtbaar vuil en enkele zichtbare vlekken max 10 st.  </t>
  </si>
  <si>
    <t>Sanitaire ruimten</t>
  </si>
  <si>
    <t xml:space="preserve">Geen losliggend en/of zichtbaar vuil en enkele zichtbare vlekken max 1 st.  </t>
  </si>
  <si>
    <t>Sport ruimten</t>
  </si>
  <si>
    <t>Linoleum</t>
  </si>
  <si>
    <t>Grofvuil-, stof-, vlekvrij</t>
  </si>
  <si>
    <t>Opleverstaat schoonmaak periodiek (tijdens vakanties uitvoeren) 2 x per jaar</t>
  </si>
  <si>
    <t>Handeling</t>
  </si>
  <si>
    <t>vochtig afnemen</t>
  </si>
  <si>
    <t>Radiatoren</t>
  </si>
  <si>
    <t>Verlichtingsarmatuur en buizen &gt; 2.00 m</t>
  </si>
  <si>
    <t>Toiletborstel/-houder</t>
  </si>
  <si>
    <t>Sanitaire ruimte</t>
  </si>
  <si>
    <t>Diepreiniging volgens programma</t>
  </si>
  <si>
    <t>periodiek vloeronderhoud conform afspraak</t>
  </si>
  <si>
    <t>Verwijderen van vervuiling in spoelranden, afvoersluitingen en restant van de binnenzijde van het toilet</t>
  </si>
  <si>
    <t>De drukspoeler controleren op goede werking en ontdoen van aanslag op de buitenzijde</t>
  </si>
  <si>
    <t>De spoelpijp ontdoen van aanslag</t>
  </si>
  <si>
    <t>Het verwijderen van vervuiling van schaamschotten</t>
  </si>
  <si>
    <t>Volledig (diep)reinigen van de deur (beide zijden), (tegel-)wanden, vloeren en putjes (in- en uitwendig), randen en richels</t>
  </si>
  <si>
    <t>Het reinigen van het toilet/urinoir aan de buitenzijde</t>
  </si>
  <si>
    <t>De toiletbril ontdoen van aanslag, demonteren van een bril met brugstuk (teneinde het vuil eronder te verwijderen) en weer monteren</t>
  </si>
  <si>
    <t>De buitenzijde van de stortbak ontdoen van aanslag en vuil (gietijzer alleen buitenzijde)</t>
  </si>
  <si>
    <t>Het verwijderen van organische en anorganische vervuiling op de binnen- en buitenzijde van de wastafel</t>
  </si>
  <si>
    <t>Alle spiegels reinigen</t>
  </si>
  <si>
    <t>De gehele vloer en alle wanden reinigen met fantomat</t>
  </si>
  <si>
    <t>Reinigen ramen/kozijnen</t>
  </si>
  <si>
    <t>Alarmsensoren</t>
  </si>
  <si>
    <t>Geen zichtbare spinrag, geen stofvorming en kleine zichtbare vlekken max. 3 stuks</t>
  </si>
  <si>
    <t>Handelingen dieptereiniging 4 x per jaar</t>
  </si>
  <si>
    <t>Verbouwing klaar juni 2023, dit is de nieuwe situatie</t>
  </si>
  <si>
    <t>Verbouwing december 2022 klaar, dit is de nieuwe situatie</t>
  </si>
  <si>
    <t>Omschrijving</t>
  </si>
  <si>
    <t xml:space="preserve"> v</t>
  </si>
  <si>
    <t>*2:</t>
  </si>
  <si>
    <t>Om de maand hoofdentree buiten schoonspuiten en vuil water verwijderen</t>
  </si>
  <si>
    <t>**3:</t>
  </si>
  <si>
    <t>Kleedkamers Korfbalvereniging</t>
  </si>
  <si>
    <t xml:space="preserve">Wanneer leerlingen van het Amstelveen College op het sportveld sporten, wordt gebruik gemaakt van de kleedkamers van de korfbalvereniging. In de periodes tussen de meivakantie en de zomervakantie en tussen de zomervakantie en de herfstvakantie dienen deze kleedruimtes 3 maal per week te worden schoongemaakt op een nader overeen te komen tijdstip.  </t>
  </si>
  <si>
    <t>Zie onderstaande toelichting*</t>
  </si>
  <si>
    <t>Zie onderstaande 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</si>
</sst>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_(* #,##0_);_(* \(#,##0\);_(* &quot;-&quot;??_);_(@_)"/>
    <numFmt numFmtId="180" formatCode="#,##0.0"/>
    <numFmt numFmtId="181" formatCode="#,##0_ ;\-#,##0\ "/>
    <numFmt numFmtId="182" formatCode="#,##0.0_ ;\-#,##0.0\ "/>
    <numFmt numFmtId="183" formatCode="_ [$€-2]\ * #,##0.00_ ;_ [$€-2]\ * \-#,##0.00_ ;_ [$€-2]\ * &quot;-&quot;??_ ;_ @_ "/>
  </numFmts>
  <fonts count="49">
    <font>
      <sz val="10"/>
      <name val="Arial"/>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sz val="9"/>
      <color theme="4"/>
      <name val="Verdana"/>
      <family val="2"/>
    </font>
    <font>
      <b/>
      <sz val="12"/>
      <color theme="0"/>
      <name val="Verdana"/>
      <family val="2"/>
    </font>
    <font>
      <b/>
      <sz val="10"/>
      <color theme="0"/>
      <name val="Verdana"/>
      <family val="2"/>
    </font>
    <font>
      <b/>
      <sz val="9"/>
      <color theme="1"/>
      <name val="Verdana"/>
      <family val="2"/>
    </font>
    <font>
      <sz val="9"/>
      <name val="Verdana"/>
      <family val="2"/>
    </font>
    <font>
      <sz val="10"/>
      <name val="Verdana"/>
      <family val="2"/>
    </font>
    <font>
      <sz val="10"/>
      <color theme="1"/>
      <name val="Verdana"/>
      <family val="2"/>
    </font>
    <font>
      <sz val="10"/>
      <color theme="1"/>
      <name val="Verdana"/>
      <family val="2"/>
    </font>
    <font>
      <sz val="10"/>
      <color rgb="FF222222"/>
      <name val="Arial"/>
      <family val="2"/>
    </font>
    <font>
      <sz val="9"/>
      <name val="Verdana"/>
      <family val="2"/>
    </font>
    <font>
      <sz val="9"/>
      <color theme="1"/>
      <name val="Verdana"/>
      <family val="2"/>
    </font>
    <font>
      <sz val="9"/>
      <name val="Verdana"/>
      <family val="2"/>
    </font>
    <font>
      <b/>
      <sz val="9"/>
      <name val="Verdana"/>
      <family val="2"/>
    </font>
    <font>
      <sz val="9"/>
      <name val="Geneva"/>
    </font>
    <font>
      <sz val="10"/>
      <color indexed="8"/>
      <name val="Arial"/>
      <family val="2"/>
    </font>
  </fonts>
  <fills count="15">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s>
  <borders count="25">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47">
    <xf numFmtId="0" fontId="0" fillId="0" borderId="0"/>
    <xf numFmtId="0" fontId="10" fillId="0" borderId="0"/>
    <xf numFmtId="17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4" fontId="16"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11" fillId="0" borderId="0" applyNumberFormat="0" applyFill="0" applyBorder="0" applyAlignment="0" applyProtection="0">
      <alignment vertical="top"/>
      <protection locked="0"/>
    </xf>
    <xf numFmtId="168" fontId="3" fillId="0" borderId="0" applyFont="0" applyFill="0" applyBorder="0" applyAlignment="0" applyProtection="0"/>
    <xf numFmtId="168" fontId="2" fillId="0" borderId="0" applyFont="0" applyFill="0" applyBorder="0" applyAlignment="0" applyProtection="0"/>
    <xf numFmtId="165" fontId="5" fillId="0" borderId="0">
      <alignment horizontal="center" vertical="center" textRotation="90" wrapText="1"/>
    </xf>
    <xf numFmtId="0" fontId="12" fillId="2" borderId="1"/>
    <xf numFmtId="174" fontId="6" fillId="0" borderId="0"/>
    <xf numFmtId="0" fontId="13" fillId="0" borderId="0" applyNumberFormat="0" applyBorder="0">
      <protection locked="0"/>
    </xf>
    <xf numFmtId="0" fontId="14" fillId="0" borderId="0"/>
    <xf numFmtId="0" fontId="15" fillId="3" borderId="2" applyNumberFormat="0" applyFont="0" applyFill="0" applyBorder="0" applyAlignment="0">
      <alignment horizontal="right"/>
    </xf>
    <xf numFmtId="0" fontId="12" fillId="4" borderId="3" applyNumberFormat="0" applyFont="0" applyBorder="0">
      <alignment horizontal="center"/>
    </xf>
    <xf numFmtId="0" fontId="8" fillId="0" borderId="0"/>
    <xf numFmtId="0" fontId="19" fillId="0" borderId="0"/>
    <xf numFmtId="0" fontId="2" fillId="0" borderId="0"/>
    <xf numFmtId="167" fontId="2"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0" fontId="20" fillId="0" borderId="0"/>
    <xf numFmtId="9"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9" fontId="21" fillId="0" borderId="0" applyFont="0" applyFill="0" applyBorder="0" applyAlignment="0" applyProtection="0"/>
    <xf numFmtId="0" fontId="2" fillId="0" borderId="0"/>
    <xf numFmtId="164" fontId="2" fillId="0" borderId="0" applyFont="0" applyFill="0" applyBorder="0" applyAlignment="0" applyProtection="0"/>
    <xf numFmtId="0" fontId="6" fillId="2" borderId="1"/>
    <xf numFmtId="0" fontId="2" fillId="0" borderId="0"/>
    <xf numFmtId="0" fontId="1" fillId="0" borderId="0"/>
    <xf numFmtId="9" fontId="2" fillId="0" borderId="0" applyFont="0" applyFill="0" applyBorder="0" applyAlignment="0" applyProtection="0"/>
    <xf numFmtId="44" fontId="2" fillId="0" borderId="0" applyFont="0" applyFill="0" applyBorder="0" applyAlignment="0" applyProtection="0"/>
    <xf numFmtId="0" fontId="47" fillId="0" borderId="0"/>
  </cellStyleXfs>
  <cellXfs count="347">
    <xf numFmtId="0" fontId="0" fillId="0" borderId="0" xfId="0"/>
    <xf numFmtId="0" fontId="22" fillId="0" borderId="0" xfId="0" applyFont="1" applyAlignment="1">
      <alignment horizontal="center"/>
    </xf>
    <xf numFmtId="0" fontId="22" fillId="0" borderId="0" xfId="0" applyFont="1"/>
    <xf numFmtId="0" fontId="28" fillId="0" borderId="0" xfId="29" applyFont="1"/>
    <xf numFmtId="0" fontId="22" fillId="0" borderId="0" xfId="0" applyFont="1" applyAlignment="1">
      <alignment vertical="center"/>
    </xf>
    <xf numFmtId="0" fontId="24" fillId="0" borderId="0" xfId="0" applyFont="1" applyAlignment="1">
      <alignment horizontal="center"/>
    </xf>
    <xf numFmtId="2" fontId="22" fillId="0" borderId="0" xfId="0" applyNumberFormat="1" applyFont="1"/>
    <xf numFmtId="0" fontId="22" fillId="0" borderId="0" xfId="30" applyFont="1" applyBorder="1" applyAlignment="1">
      <alignment vertical="center"/>
    </xf>
    <xf numFmtId="164" fontId="22" fillId="5" borderId="9" xfId="0" applyNumberFormat="1" applyFont="1" applyFill="1" applyBorder="1" applyAlignment="1">
      <alignment horizontal="left" vertical="center"/>
    </xf>
    <xf numFmtId="10" fontId="22" fillId="5" borderId="9" xfId="0" applyNumberFormat="1" applyFont="1" applyFill="1" applyBorder="1" applyAlignment="1">
      <alignment horizontal="center" vertical="center"/>
    </xf>
    <xf numFmtId="10" fontId="22" fillId="0" borderId="9" xfId="0" applyNumberFormat="1" applyFont="1" applyBorder="1" applyAlignment="1">
      <alignment horizontal="center" vertical="center"/>
    </xf>
    <xf numFmtId="173" fontId="22" fillId="0" borderId="9" xfId="0" applyNumberFormat="1" applyFont="1" applyBorder="1" applyAlignment="1">
      <alignment vertical="center"/>
    </xf>
    <xf numFmtId="0" fontId="24" fillId="0" borderId="0" xfId="0" applyFont="1" applyFill="1" applyBorder="1" applyAlignment="1">
      <alignment horizontal="center" vertical="center"/>
    </xf>
    <xf numFmtId="9" fontId="22" fillId="0" borderId="9" xfId="0" applyNumberFormat="1" applyFont="1" applyBorder="1" applyAlignment="1">
      <alignment horizontal="center" vertical="center"/>
    </xf>
    <xf numFmtId="173" fontId="22" fillId="0" borderId="9" xfId="0" applyNumberFormat="1" applyFont="1" applyBorder="1" applyAlignment="1" applyProtection="1">
      <alignment vertical="center"/>
      <protection locked="0"/>
    </xf>
    <xf numFmtId="173" fontId="22" fillId="0" borderId="9" xfId="2" applyNumberFormat="1" applyFont="1" applyBorder="1" applyAlignment="1" applyProtection="1">
      <alignment horizontal="left" vertical="center"/>
      <protection hidden="1"/>
    </xf>
    <xf numFmtId="0" fontId="22" fillId="0" borderId="9" xfId="0" applyFont="1" applyBorder="1" applyAlignment="1">
      <alignment horizontal="left" vertical="center"/>
    </xf>
    <xf numFmtId="0" fontId="22" fillId="0" borderId="0" xfId="30" applyFont="1" applyFill="1" applyBorder="1" applyAlignment="1">
      <alignment vertical="center"/>
    </xf>
    <xf numFmtId="0" fontId="22" fillId="0" borderId="0" xfId="30" applyFont="1" applyFill="1" applyBorder="1" applyAlignment="1">
      <alignment vertical="center" wrapText="1"/>
    </xf>
    <xf numFmtId="0" fontId="22" fillId="0" borderId="0" xfId="30" applyFont="1" applyFill="1" applyBorder="1" applyAlignment="1">
      <alignment horizontal="center" vertical="center"/>
    </xf>
    <xf numFmtId="0" fontId="22" fillId="0" borderId="0" xfId="0" applyFont="1" applyFill="1" applyBorder="1" applyAlignment="1">
      <alignment vertical="center" wrapText="1"/>
    </xf>
    <xf numFmtId="0" fontId="22" fillId="0" borderId="0" xfId="0" applyFont="1" applyFill="1" applyBorder="1" applyAlignment="1">
      <alignment wrapText="1"/>
    </xf>
    <xf numFmtId="2" fontId="22" fillId="0" borderId="0" xfId="0" applyNumberFormat="1" applyFont="1" applyFill="1" applyBorder="1" applyAlignment="1">
      <alignmen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vertical="center"/>
    </xf>
    <xf numFmtId="0" fontId="22" fillId="0" borderId="0" xfId="0" applyFont="1" applyFill="1" applyAlignment="1">
      <alignment vertical="center"/>
    </xf>
    <xf numFmtId="4" fontId="22" fillId="0" borderId="0" xfId="0" applyNumberFormat="1" applyFont="1" applyFill="1" applyBorder="1" applyAlignment="1">
      <alignment vertical="center"/>
    </xf>
    <xf numFmtId="0" fontId="22" fillId="0" borderId="0" xfId="0" applyFont="1" applyFill="1" applyBorder="1" applyAlignment="1">
      <alignment horizontal="center" vertical="center"/>
    </xf>
    <xf numFmtId="4" fontId="22" fillId="0" borderId="0" xfId="0" applyNumberFormat="1" applyFont="1" applyAlignment="1">
      <alignment horizontal="center" vertical="center"/>
    </xf>
    <xf numFmtId="164" fontId="22" fillId="0" borderId="0" xfId="8" applyFont="1" applyAlignment="1">
      <alignment vertical="center"/>
    </xf>
    <xf numFmtId="4" fontId="22" fillId="0" borderId="0" xfId="0" applyNumberFormat="1" applyFont="1" applyFill="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4" fillId="0" borderId="0" xfId="0" applyFont="1" applyAlignment="1">
      <alignment vertical="center"/>
    </xf>
    <xf numFmtId="3" fontId="22" fillId="0" borderId="0" xfId="0" applyNumberFormat="1" applyFont="1" applyFill="1" applyBorder="1" applyAlignment="1">
      <alignment horizontal="center" vertical="center"/>
    </xf>
    <xf numFmtId="2" fontId="25" fillId="0" borderId="0" xfId="0" applyNumberFormat="1" applyFont="1" applyFill="1" applyBorder="1" applyAlignment="1">
      <alignment horizontal="left" vertical="center"/>
    </xf>
    <xf numFmtId="4" fontId="22" fillId="0" borderId="0" xfId="0" applyNumberFormat="1" applyFont="1" applyFill="1" applyBorder="1" applyAlignment="1">
      <alignment horizontal="left" vertical="center"/>
    </xf>
    <xf numFmtId="164" fontId="22" fillId="6" borderId="0" xfId="0" applyNumberFormat="1"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3" fontId="22" fillId="0" borderId="0" xfId="8" applyNumberFormat="1" applyFont="1" applyAlignment="1">
      <alignment vertical="center"/>
    </xf>
    <xf numFmtId="0" fontId="33" fillId="7" borderId="9" xfId="0" applyFont="1" applyFill="1" applyBorder="1" applyAlignment="1">
      <alignment vertical="center"/>
    </xf>
    <xf numFmtId="0" fontId="29" fillId="0" borderId="0" xfId="29" applyFont="1"/>
    <xf numFmtId="3" fontId="33" fillId="7" borderId="9" xfId="0" applyNumberFormat="1" applyFont="1" applyFill="1" applyBorder="1" applyAlignment="1">
      <alignment vertical="center"/>
    </xf>
    <xf numFmtId="180" fontId="33" fillId="7" borderId="9" xfId="0" applyNumberFormat="1" applyFont="1" applyFill="1" applyBorder="1" applyAlignment="1">
      <alignment vertical="center"/>
    </xf>
    <xf numFmtId="1" fontId="33" fillId="7" borderId="9" xfId="0" applyNumberFormat="1" applyFont="1" applyFill="1" applyBorder="1" applyAlignment="1">
      <alignment vertical="center"/>
    </xf>
    <xf numFmtId="173" fontId="33" fillId="7" borderId="9" xfId="0" applyNumberFormat="1" applyFont="1" applyFill="1" applyBorder="1" applyAlignment="1">
      <alignment vertical="center"/>
    </xf>
    <xf numFmtId="0" fontId="28" fillId="0" borderId="0" xfId="29" applyFont="1" applyAlignment="1">
      <alignment horizontal="center" vertical="center"/>
    </xf>
    <xf numFmtId="173" fontId="32" fillId="9" borderId="13" xfId="0" applyNumberFormat="1" applyFont="1" applyFill="1" applyBorder="1" applyAlignment="1">
      <alignment horizontal="center" vertical="center" wrapText="1"/>
    </xf>
    <xf numFmtId="1" fontId="33" fillId="8" borderId="0" xfId="30" applyNumberFormat="1" applyFont="1" applyFill="1" applyBorder="1" applyAlignment="1">
      <alignment horizontal="center" vertical="center"/>
    </xf>
    <xf numFmtId="0" fontId="33" fillId="8" borderId="0" xfId="30" applyNumberFormat="1" applyFont="1" applyFill="1" applyBorder="1" applyAlignment="1">
      <alignment horizontal="left" vertical="center"/>
    </xf>
    <xf numFmtId="1" fontId="33" fillId="7" borderId="0" xfId="30" applyNumberFormat="1" applyFont="1" applyFill="1" applyBorder="1" applyAlignment="1">
      <alignment horizontal="center" vertical="center"/>
    </xf>
    <xf numFmtId="0" fontId="33" fillId="7" borderId="0" xfId="30" applyNumberFormat="1" applyFont="1" applyFill="1" applyBorder="1" applyAlignment="1">
      <alignment horizontal="left" vertical="center"/>
    </xf>
    <xf numFmtId="0" fontId="32" fillId="9" borderId="0" xfId="0" applyFont="1" applyFill="1" applyBorder="1" applyAlignment="1">
      <alignment horizontal="center" vertical="center" wrapText="1"/>
    </xf>
    <xf numFmtId="0" fontId="32" fillId="9" borderId="0" xfId="0" applyFont="1" applyFill="1" applyBorder="1" applyAlignment="1">
      <alignment vertical="center" wrapText="1"/>
    </xf>
    <xf numFmtId="164" fontId="32" fillId="9" borderId="0" xfId="0" applyNumberFormat="1" applyFont="1" applyFill="1" applyBorder="1" applyAlignment="1">
      <alignment horizontal="center" vertical="center" wrapText="1"/>
    </xf>
    <xf numFmtId="0" fontId="33" fillId="8" borderId="0" xfId="0" applyNumberFormat="1" applyFont="1" applyFill="1" applyBorder="1" applyAlignment="1">
      <alignment horizontal="center" vertical="center"/>
    </xf>
    <xf numFmtId="0" fontId="33" fillId="8" borderId="0" xfId="0" applyFont="1" applyFill="1" applyBorder="1" applyAlignment="1">
      <alignment vertical="center"/>
    </xf>
    <xf numFmtId="164" fontId="33" fillId="5" borderId="0" xfId="0" applyNumberFormat="1" applyFont="1" applyFill="1" applyBorder="1" applyAlignment="1">
      <alignment horizontal="center" vertical="center"/>
    </xf>
    <xf numFmtId="0" fontId="33" fillId="7" borderId="0" xfId="0" applyNumberFormat="1" applyFont="1" applyFill="1" applyBorder="1" applyAlignment="1">
      <alignment horizontal="center" vertical="center"/>
    </xf>
    <xf numFmtId="0" fontId="33" fillId="7" borderId="0" xfId="0" applyFont="1" applyFill="1" applyBorder="1" applyAlignment="1">
      <alignment vertical="center"/>
    </xf>
    <xf numFmtId="0" fontId="33" fillId="8" borderId="0" xfId="0" applyFont="1" applyFill="1" applyBorder="1" applyAlignment="1">
      <alignment horizontal="left" vertical="center"/>
    </xf>
    <xf numFmtId="4" fontId="33" fillId="7" borderId="0" xfId="0" applyNumberFormat="1" applyFont="1" applyFill="1" applyBorder="1" applyAlignment="1">
      <alignment horizontal="left" vertical="center"/>
    </xf>
    <xf numFmtId="4" fontId="33" fillId="8" borderId="0" xfId="0" applyNumberFormat="1" applyFont="1" applyFill="1" applyBorder="1" applyAlignment="1">
      <alignment horizontal="left" vertical="center"/>
    </xf>
    <xf numFmtId="0" fontId="33" fillId="7" borderId="0" xfId="0" applyFont="1" applyFill="1" applyBorder="1" applyAlignment="1">
      <alignment horizontal="left" vertical="center"/>
    </xf>
    <xf numFmtId="4" fontId="32" fillId="9" borderId="0" xfId="0" applyNumberFormat="1" applyFont="1" applyFill="1" applyBorder="1" applyAlignment="1">
      <alignment horizontal="center" vertical="center" wrapText="1"/>
    </xf>
    <xf numFmtId="164" fontId="32" fillId="9" borderId="0" xfId="8" applyNumberFormat="1" applyFont="1" applyFill="1" applyBorder="1" applyAlignment="1">
      <alignment horizontal="center" vertical="center" wrapText="1"/>
    </xf>
    <xf numFmtId="0" fontId="22" fillId="6" borderId="0" xfId="0" applyFont="1" applyFill="1" applyBorder="1"/>
    <xf numFmtId="0" fontId="22" fillId="6" borderId="0" xfId="0" applyFont="1" applyFill="1" applyBorder="1" applyAlignment="1">
      <alignment horizontal="center"/>
    </xf>
    <xf numFmtId="0" fontId="22" fillId="6" borderId="0" xfId="0" applyFont="1" applyFill="1" applyBorder="1" applyAlignment="1">
      <alignment wrapText="1"/>
    </xf>
    <xf numFmtId="0" fontId="22" fillId="0" borderId="0" xfId="0" applyFont="1" applyAlignment="1">
      <alignment horizontal="center" vertical="center" textRotation="90"/>
    </xf>
    <xf numFmtId="0" fontId="22" fillId="0" borderId="9" xfId="0" applyFont="1" applyBorder="1" applyAlignment="1">
      <alignment horizontal="center" vertical="center" textRotation="90"/>
    </xf>
    <xf numFmtId="0" fontId="30" fillId="0" borderId="0" xfId="30" applyFont="1"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pplyAlignment="1">
      <alignment horizontal="left" vertical="center" wrapText="1"/>
    </xf>
    <xf numFmtId="0" fontId="22" fillId="0" borderId="0" xfId="0" applyFont="1" applyFill="1" applyAlignment="1">
      <alignment horizontal="center" vertical="center" textRotation="90" wrapText="1"/>
    </xf>
    <xf numFmtId="0" fontId="22" fillId="0" borderId="0" xfId="0" applyFont="1" applyAlignment="1">
      <alignment wrapText="1"/>
    </xf>
    <xf numFmtId="173" fontId="22" fillId="5" borderId="0" xfId="0" applyNumberFormat="1" applyFont="1" applyFill="1" applyBorder="1" applyAlignment="1">
      <alignment vertical="center"/>
    </xf>
    <xf numFmtId="0" fontId="22" fillId="6" borderId="0" xfId="0" applyFont="1" applyFill="1" applyAlignment="1">
      <alignment horizontal="center" vertical="center" textRotation="90"/>
    </xf>
    <xf numFmtId="0" fontId="22" fillId="6" borderId="0" xfId="0" applyFont="1" applyFill="1" applyAlignment="1">
      <alignment vertical="center"/>
    </xf>
    <xf numFmtId="0" fontId="22" fillId="6" borderId="0" xfId="0" applyFont="1" applyFill="1"/>
    <xf numFmtId="168" fontId="22" fillId="0" borderId="0" xfId="19" applyFont="1" applyFill="1" applyBorder="1" applyAlignment="1">
      <alignment horizontal="center" vertical="center" wrapText="1"/>
    </xf>
    <xf numFmtId="173" fontId="22" fillId="0" borderId="0" xfId="0" applyNumberFormat="1" applyFont="1" applyFill="1" applyBorder="1" applyAlignment="1">
      <alignment horizontal="center" vertical="center" wrapText="1"/>
    </xf>
    <xf numFmtId="0" fontId="22" fillId="6" borderId="0" xfId="0" applyFont="1" applyFill="1" applyBorder="1" applyAlignment="1">
      <alignment horizontal="center" vertical="center" wrapText="1"/>
    </xf>
    <xf numFmtId="0" fontId="22" fillId="6" borderId="0" xfId="0" applyFont="1" applyFill="1" applyBorder="1" applyAlignment="1">
      <alignment vertical="center" wrapText="1"/>
    </xf>
    <xf numFmtId="2" fontId="22" fillId="6" borderId="0" xfId="0" applyNumberFormat="1" applyFont="1" applyFill="1" applyBorder="1"/>
    <xf numFmtId="0" fontId="22" fillId="6" borderId="0" xfId="0" applyFont="1" applyFill="1" applyBorder="1" applyAlignment="1">
      <alignment vertical="center"/>
    </xf>
    <xf numFmtId="2" fontId="24" fillId="6" borderId="0" xfId="0" applyNumberFormat="1" applyFont="1" applyFill="1" applyBorder="1" applyAlignment="1">
      <alignment vertical="center"/>
    </xf>
    <xf numFmtId="0" fontId="22" fillId="6" borderId="0" xfId="0" applyFont="1" applyFill="1" applyBorder="1" applyAlignment="1">
      <alignment horizontal="center" vertical="center"/>
    </xf>
    <xf numFmtId="0" fontId="22" fillId="6" borderId="0" xfId="0" applyFont="1" applyFill="1" applyAlignment="1">
      <alignment horizontal="center"/>
    </xf>
    <xf numFmtId="0" fontId="36" fillId="6" borderId="10" xfId="30" applyFont="1" applyFill="1" applyBorder="1" applyAlignment="1">
      <alignment vertical="center" wrapText="1"/>
    </xf>
    <xf numFmtId="0" fontId="32" fillId="10" borderId="9" xfId="0" applyFont="1" applyFill="1" applyBorder="1" applyAlignment="1">
      <alignment horizontal="center" vertical="center" wrapText="1"/>
    </xf>
    <xf numFmtId="170" fontId="32" fillId="10" borderId="9" xfId="0" applyNumberFormat="1" applyFont="1" applyFill="1" applyBorder="1" applyAlignment="1">
      <alignment horizontal="center" vertical="center" wrapText="1"/>
    </xf>
    <xf numFmtId="0" fontId="31" fillId="10" borderId="7" xfId="0" applyFont="1" applyFill="1" applyBorder="1" applyAlignment="1">
      <alignment vertical="center" wrapText="1"/>
    </xf>
    <xf numFmtId="0" fontId="31" fillId="10" borderId="4" xfId="0" applyFont="1" applyFill="1" applyBorder="1" applyAlignment="1">
      <alignment vertical="center" wrapText="1"/>
    </xf>
    <xf numFmtId="0" fontId="22" fillId="0" borderId="0" xfId="30" applyFont="1" applyFill="1" applyBorder="1" applyAlignment="1">
      <alignment horizontal="center" vertical="center" wrapText="1"/>
    </xf>
    <xf numFmtId="0" fontId="24" fillId="6" borderId="0" xfId="0" applyFont="1" applyFill="1" applyBorder="1" applyAlignment="1">
      <alignment horizontal="left" vertical="center"/>
    </xf>
    <xf numFmtId="2" fontId="24" fillId="5" borderId="0" xfId="0" applyNumberFormat="1" applyFont="1" applyFill="1" applyBorder="1" applyAlignment="1">
      <alignment horizontal="center" vertical="center"/>
    </xf>
    <xf numFmtId="2" fontId="24" fillId="0" borderId="0" xfId="0" applyNumberFormat="1" applyFont="1" applyFill="1" applyBorder="1" applyAlignment="1">
      <alignment horizontal="center" vertical="center"/>
    </xf>
    <xf numFmtId="2" fontId="24" fillId="6" borderId="0" xfId="0" applyNumberFormat="1" applyFont="1" applyFill="1" applyBorder="1" applyAlignment="1">
      <alignment horizontal="center" vertical="center"/>
    </xf>
    <xf numFmtId="0" fontId="23" fillId="0" borderId="0" xfId="30" applyFont="1" applyBorder="1" applyAlignment="1">
      <alignment horizontal="center" vertical="center"/>
    </xf>
    <xf numFmtId="9" fontId="24" fillId="5" borderId="0" xfId="38" applyFont="1" applyFill="1" applyBorder="1" applyAlignment="1">
      <alignment horizontal="center" vertical="center"/>
    </xf>
    <xf numFmtId="2" fontId="22" fillId="6" borderId="0" xfId="0" applyNumberFormat="1" applyFont="1" applyFill="1" applyBorder="1" applyAlignment="1">
      <alignment vertical="center"/>
    </xf>
    <xf numFmtId="17" fontId="22" fillId="6" borderId="0" xfId="0" applyNumberFormat="1" applyFont="1" applyFill="1" applyBorder="1" applyAlignment="1">
      <alignment horizontal="center" vertical="center"/>
    </xf>
    <xf numFmtId="177" fontId="22" fillId="6" borderId="0" xfId="0" applyNumberFormat="1" applyFont="1" applyFill="1" applyBorder="1" applyAlignment="1">
      <alignment vertical="center"/>
    </xf>
    <xf numFmtId="177" fontId="22" fillId="6" borderId="0" xfId="0" applyNumberFormat="1" applyFont="1" applyFill="1" applyBorder="1" applyAlignment="1">
      <alignment horizontal="center" vertical="center"/>
    </xf>
    <xf numFmtId="178" fontId="22" fillId="0" borderId="0" xfId="0" applyNumberFormat="1" applyFont="1" applyFill="1" applyBorder="1" applyAlignment="1">
      <alignment vertical="center"/>
    </xf>
    <xf numFmtId="0" fontId="22" fillId="0" borderId="0" xfId="0" applyNumberFormat="1"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1" fontId="22" fillId="0" borderId="0" xfId="0" applyNumberFormat="1" applyFont="1" applyFill="1" applyBorder="1" applyAlignment="1">
      <alignment horizontal="center" vertical="center"/>
    </xf>
    <xf numFmtId="179" fontId="22" fillId="0" borderId="0" xfId="19" applyNumberFormat="1" applyFont="1" applyFill="1" applyBorder="1" applyAlignment="1" applyProtection="1">
      <alignment horizontal="center" vertical="center"/>
      <protection hidden="1"/>
    </xf>
    <xf numFmtId="2" fontId="22" fillId="0" borderId="0" xfId="0" applyNumberFormat="1" applyFont="1" applyFill="1" applyBorder="1" applyAlignment="1" applyProtection="1">
      <alignment horizontal="center" vertical="center"/>
      <protection hidden="1"/>
    </xf>
    <xf numFmtId="164" fontId="22" fillId="0" borderId="0" xfId="0" applyNumberFormat="1" applyFont="1" applyFill="1" applyBorder="1" applyAlignment="1" applyProtection="1">
      <alignment horizontal="right" vertical="center"/>
      <protection hidden="1"/>
    </xf>
    <xf numFmtId="169" fontId="22" fillId="0" borderId="0" xfId="0" applyNumberFormat="1" applyFont="1" applyFill="1" applyBorder="1" applyAlignment="1" applyProtection="1">
      <alignment horizontal="center" vertical="center"/>
      <protection hidden="1"/>
    </xf>
    <xf numFmtId="168" fontId="22" fillId="0" borderId="0" xfId="19" applyFont="1" applyFill="1" applyBorder="1" applyAlignment="1" applyProtection="1">
      <alignment horizontal="right" vertical="center"/>
      <protection hidden="1"/>
    </xf>
    <xf numFmtId="164" fontId="22" fillId="0" borderId="0" xfId="0" applyNumberFormat="1" applyFont="1" applyFill="1" applyBorder="1" applyAlignment="1">
      <alignment vertical="center"/>
    </xf>
    <xf numFmtId="2" fontId="22" fillId="6" borderId="0" xfId="0" applyNumberFormat="1" applyFont="1" applyFill="1" applyBorder="1" applyAlignment="1" applyProtection="1">
      <alignment vertical="center"/>
      <protection hidden="1"/>
    </xf>
    <xf numFmtId="178" fontId="22" fillId="0" borderId="0" xfId="0" applyNumberFormat="1" applyFont="1" applyFill="1" applyBorder="1" applyAlignment="1">
      <alignment horizontal="center" vertical="center"/>
    </xf>
    <xf numFmtId="177" fontId="22" fillId="0" borderId="0" xfId="0" applyNumberFormat="1" applyFont="1" applyFill="1" applyBorder="1" applyAlignment="1">
      <alignment vertical="center"/>
    </xf>
    <xf numFmtId="177" fontId="22" fillId="0" borderId="0" xfId="0" applyNumberFormat="1" applyFont="1" applyFill="1" applyBorder="1" applyAlignment="1">
      <alignment horizontal="center" vertical="center"/>
    </xf>
    <xf numFmtId="0" fontId="22" fillId="0" borderId="0" xfId="0" applyFont="1" applyFill="1" applyBorder="1" applyAlignment="1" applyProtection="1">
      <alignment vertical="center"/>
      <protection hidden="1"/>
    </xf>
    <xf numFmtId="169" fontId="22" fillId="0" borderId="0" xfId="0" applyNumberFormat="1" applyFont="1" applyFill="1" applyBorder="1" applyAlignment="1" applyProtection="1">
      <alignment vertical="center"/>
      <protection hidden="1"/>
    </xf>
    <xf numFmtId="2" fontId="22" fillId="0" borderId="0" xfId="0" applyNumberFormat="1" applyFont="1" applyFill="1" applyBorder="1" applyAlignment="1" applyProtection="1">
      <alignment vertical="center"/>
      <protection hidden="1"/>
    </xf>
    <xf numFmtId="168" fontId="22" fillId="0" borderId="0" xfId="19" applyFont="1" applyFill="1" applyBorder="1" applyAlignment="1">
      <alignment vertical="center"/>
    </xf>
    <xf numFmtId="173" fontId="22" fillId="0" borderId="0" xfId="0" applyNumberFormat="1" applyFont="1" applyFill="1" applyBorder="1" applyAlignment="1">
      <alignment vertical="center"/>
    </xf>
    <xf numFmtId="0" fontId="31" fillId="9" borderId="17" xfId="0" applyFont="1" applyFill="1" applyBorder="1" applyAlignment="1">
      <alignment horizontal="center" vertical="center" wrapText="1"/>
    </xf>
    <xf numFmtId="9" fontId="37" fillId="5" borderId="20" xfId="38" applyNumberFormat="1" applyFont="1" applyFill="1" applyBorder="1" applyAlignment="1">
      <alignment horizontal="center" vertical="center"/>
    </xf>
    <xf numFmtId="2" fontId="31" fillId="0" borderId="15" xfId="0" applyNumberFormat="1" applyFont="1" applyFill="1" applyBorder="1" applyAlignment="1">
      <alignment vertical="center" wrapText="1"/>
    </xf>
    <xf numFmtId="2" fontId="31" fillId="0" borderId="16" xfId="0" applyNumberFormat="1" applyFont="1" applyFill="1" applyBorder="1" applyAlignment="1">
      <alignment vertical="center" wrapText="1"/>
    </xf>
    <xf numFmtId="0" fontId="31" fillId="0" borderId="16" xfId="0" applyFont="1" applyFill="1" applyBorder="1" applyAlignment="1">
      <alignment vertical="center" wrapText="1"/>
    </xf>
    <xf numFmtId="169" fontId="22" fillId="0" borderId="0" xfId="0" applyNumberFormat="1" applyFont="1" applyFill="1" applyBorder="1" applyAlignment="1">
      <alignment vertical="center"/>
    </xf>
    <xf numFmtId="0" fontId="33" fillId="0" borderId="19" xfId="30" applyNumberFormat="1" applyFont="1" applyFill="1" applyBorder="1" applyAlignment="1">
      <alignment vertical="center"/>
    </xf>
    <xf numFmtId="0" fontId="33" fillId="0" borderId="18" xfId="30" applyNumberFormat="1" applyFont="1" applyFill="1" applyBorder="1" applyAlignment="1">
      <alignment horizontal="center" vertical="center"/>
    </xf>
    <xf numFmtId="2" fontId="22" fillId="0" borderId="0" xfId="0" applyNumberFormat="1" applyFont="1" applyFill="1" applyBorder="1" applyAlignment="1">
      <alignment horizontal="center" vertical="center" wrapText="1"/>
    </xf>
    <xf numFmtId="0" fontId="22" fillId="0" borderId="0" xfId="30" applyFont="1" applyBorder="1" applyAlignment="1">
      <alignment horizontal="center" vertical="center"/>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0" fontId="22" fillId="6" borderId="0" xfId="0" applyFont="1" applyFill="1" applyBorder="1" applyAlignment="1">
      <alignment horizontal="left" vertical="center"/>
    </xf>
    <xf numFmtId="0" fontId="22" fillId="6" borderId="0" xfId="0" applyFont="1" applyFill="1" applyBorder="1" applyAlignment="1">
      <alignment horizontal="center" wrapText="1"/>
    </xf>
    <xf numFmtId="169" fontId="22" fillId="6" borderId="0" xfId="0" applyNumberFormat="1" applyFont="1" applyFill="1"/>
    <xf numFmtId="0" fontId="24" fillId="6" borderId="0" xfId="0" applyFont="1" applyFill="1" applyAlignment="1">
      <alignment horizontal="center"/>
    </xf>
    <xf numFmtId="2" fontId="22" fillId="6" borderId="0" xfId="0" applyNumberFormat="1" applyFont="1" applyFill="1"/>
    <xf numFmtId="0" fontId="22" fillId="0" borderId="0" xfId="30" applyFont="1" applyFill="1" applyAlignment="1">
      <alignment vertical="center"/>
    </xf>
    <xf numFmtId="0" fontId="34" fillId="0" borderId="0" xfId="0" applyFont="1" applyFill="1" applyBorder="1" applyAlignment="1">
      <alignment vertical="center" wrapText="1"/>
    </xf>
    <xf numFmtId="0" fontId="34" fillId="0" borderId="0" xfId="0" applyFont="1" applyFill="1" applyBorder="1" applyAlignment="1">
      <alignment wrapText="1"/>
    </xf>
    <xf numFmtId="173" fontId="22" fillId="0" borderId="0" xfId="0" applyNumberFormat="1" applyFont="1" applyAlignment="1">
      <alignment vertical="center"/>
    </xf>
    <xf numFmtId="173" fontId="25" fillId="0" borderId="0" xfId="0" applyNumberFormat="1" applyFont="1" applyFill="1" applyBorder="1" applyAlignment="1">
      <alignment horizontal="left" vertical="center"/>
    </xf>
    <xf numFmtId="173" fontId="22" fillId="6" borderId="0" xfId="0" applyNumberFormat="1" applyFont="1" applyFill="1" applyBorder="1" applyAlignment="1">
      <alignment horizontal="center" vertical="center"/>
    </xf>
    <xf numFmtId="173" fontId="32" fillId="9" borderId="0" xfId="8" applyNumberFormat="1" applyFont="1" applyFill="1" applyBorder="1" applyAlignment="1">
      <alignment horizontal="center" vertical="center" wrapText="1"/>
    </xf>
    <xf numFmtId="173" fontId="22" fillId="0" borderId="0" xfId="8" applyNumberFormat="1" applyFont="1" applyAlignment="1">
      <alignment vertical="center"/>
    </xf>
    <xf numFmtId="4" fontId="32" fillId="9" borderId="5" xfId="0" applyNumberFormat="1" applyFont="1" applyFill="1" applyBorder="1" applyAlignment="1">
      <alignment horizontal="center" vertical="center" wrapText="1"/>
    </xf>
    <xf numFmtId="173" fontId="33" fillId="7" borderId="14" xfId="0" applyNumberFormat="1" applyFont="1" applyFill="1" applyBorder="1" applyAlignment="1">
      <alignment vertical="center"/>
    </xf>
    <xf numFmtId="0" fontId="32" fillId="9" borderId="9" xfId="0" applyFont="1" applyFill="1" applyBorder="1" applyAlignment="1">
      <alignment horizontal="center" vertical="center" wrapText="1"/>
    </xf>
    <xf numFmtId="0" fontId="32" fillId="9" borderId="9" xfId="0" applyFont="1" applyFill="1" applyBorder="1" applyAlignment="1">
      <alignment horizontal="left" vertical="center" wrapText="1"/>
    </xf>
    <xf numFmtId="168" fontId="32" fillId="9" borderId="9" xfId="19" applyNumberFormat="1" applyFont="1" applyFill="1" applyBorder="1" applyAlignment="1">
      <alignment horizontal="center" vertical="center" wrapText="1"/>
    </xf>
    <xf numFmtId="173" fontId="32" fillId="9" borderId="9" xfId="0" applyNumberFormat="1" applyFont="1" applyFill="1" applyBorder="1" applyAlignment="1">
      <alignment horizontal="center" vertical="center" wrapText="1"/>
    </xf>
    <xf numFmtId="0" fontId="33" fillId="7" borderId="9" xfId="0" applyFont="1" applyFill="1" applyBorder="1" applyAlignment="1">
      <alignment horizontal="center" vertical="center"/>
    </xf>
    <xf numFmtId="0" fontId="28" fillId="0" borderId="0" xfId="29" applyFont="1" applyAlignment="1">
      <alignment horizontal="center"/>
    </xf>
    <xf numFmtId="0" fontId="33" fillId="7" borderId="9" xfId="0" applyFont="1" applyFill="1" applyBorder="1" applyAlignment="1">
      <alignment horizontal="left" vertical="center"/>
    </xf>
    <xf numFmtId="0" fontId="33" fillId="8" borderId="9" xfId="0" applyFont="1" applyFill="1" applyBorder="1" applyAlignment="1">
      <alignment horizontal="left" vertical="center"/>
    </xf>
    <xf numFmtId="0" fontId="22" fillId="7" borderId="9" xfId="0" applyFont="1" applyFill="1" applyBorder="1" applyAlignment="1">
      <alignment vertical="center"/>
    </xf>
    <xf numFmtId="183" fontId="22" fillId="7" borderId="9" xfId="0" applyNumberFormat="1" applyFont="1" applyFill="1" applyBorder="1" applyAlignment="1">
      <alignment horizontal="center" vertical="center"/>
    </xf>
    <xf numFmtId="0" fontId="22" fillId="7" borderId="7" xfId="0" applyFont="1" applyFill="1" applyBorder="1" applyAlignment="1">
      <alignment vertical="center"/>
    </xf>
    <xf numFmtId="0" fontId="22" fillId="7" borderId="4" xfId="0" applyFont="1" applyFill="1" applyBorder="1" applyAlignment="1">
      <alignment vertical="center"/>
    </xf>
    <xf numFmtId="0" fontId="22" fillId="7" borderId="14" xfId="0" applyFont="1" applyFill="1" applyBorder="1" applyAlignment="1">
      <alignment vertical="center"/>
    </xf>
    <xf numFmtId="0" fontId="33" fillId="0" borderId="0" xfId="0" applyFont="1" applyAlignment="1">
      <alignment horizontal="center" vertical="center" textRotation="90"/>
    </xf>
    <xf numFmtId="0" fontId="33" fillId="0" borderId="0" xfId="0" applyFont="1"/>
    <xf numFmtId="173" fontId="37" fillId="13" borderId="9" xfId="0" applyNumberFormat="1" applyFont="1" applyFill="1" applyBorder="1" applyAlignment="1">
      <alignment vertical="center"/>
    </xf>
    <xf numFmtId="170" fontId="33" fillId="13" borderId="9" xfId="0" applyNumberFormat="1" applyFont="1" applyFill="1" applyBorder="1" applyAlignment="1">
      <alignment horizontal="center" vertical="center"/>
    </xf>
    <xf numFmtId="171" fontId="33" fillId="13" borderId="9" xfId="2" applyFont="1" applyFill="1" applyBorder="1" applyAlignment="1" applyProtection="1">
      <alignment horizontal="left" vertical="center"/>
      <protection locked="0"/>
    </xf>
    <xf numFmtId="172" fontId="33" fillId="13" borderId="9" xfId="31" applyNumberFormat="1" applyFont="1" applyFill="1" applyBorder="1" applyAlignment="1" applyProtection="1">
      <alignment horizontal="left" vertical="center"/>
      <protection hidden="1"/>
    </xf>
    <xf numFmtId="170" fontId="33" fillId="13" borderId="9" xfId="0" applyNumberFormat="1" applyFont="1" applyFill="1" applyBorder="1" applyAlignment="1" applyProtection="1">
      <alignment horizontal="center" vertical="center"/>
      <protection locked="0"/>
    </xf>
    <xf numFmtId="172" fontId="33" fillId="13" borderId="9" xfId="2" applyNumberFormat="1" applyFont="1" applyFill="1" applyBorder="1" applyAlignment="1" applyProtection="1">
      <alignment horizontal="left" vertical="center"/>
      <protection hidden="1"/>
    </xf>
    <xf numFmtId="0" fontId="39" fillId="0" borderId="0" xfId="0" applyFont="1" applyBorder="1" applyAlignment="1">
      <alignment vertical="center"/>
    </xf>
    <xf numFmtId="2" fontId="22" fillId="0" borderId="0" xfId="0" applyNumberFormat="1" applyFont="1" applyFill="1" applyBorder="1" applyAlignment="1">
      <alignment horizontal="center" vertical="center"/>
    </xf>
    <xf numFmtId="0" fontId="40" fillId="13" borderId="9" xfId="0" applyFont="1" applyFill="1" applyBorder="1" applyAlignment="1">
      <alignment horizontal="center" vertical="center"/>
    </xf>
    <xf numFmtId="0" fontId="40" fillId="13" borderId="9" xfId="0" applyFont="1" applyFill="1" applyBorder="1" applyAlignment="1">
      <alignment vertical="center"/>
    </xf>
    <xf numFmtId="173" fontId="40" fillId="13" borderId="9" xfId="0" applyNumberFormat="1" applyFont="1" applyFill="1" applyBorder="1" applyAlignment="1">
      <alignment vertical="center"/>
    </xf>
    <xf numFmtId="0" fontId="41" fillId="13" borderId="9" xfId="0" applyFont="1" applyFill="1" applyBorder="1" applyAlignment="1">
      <alignment horizontal="center" vertical="center"/>
    </xf>
    <xf numFmtId="0" fontId="41" fillId="13" borderId="9" xfId="0" applyFont="1" applyFill="1" applyBorder="1" applyAlignment="1">
      <alignment vertical="center"/>
    </xf>
    <xf numFmtId="181" fontId="41" fillId="13" borderId="9" xfId="0" applyNumberFormat="1" applyFont="1" applyFill="1" applyBorder="1" applyAlignment="1">
      <alignment vertical="center"/>
    </xf>
    <xf numFmtId="182" fontId="41" fillId="13" borderId="9" xfId="0" applyNumberFormat="1" applyFont="1" applyFill="1" applyBorder="1" applyAlignment="1">
      <alignment vertical="center"/>
    </xf>
    <xf numFmtId="173" fontId="41" fillId="13" borderId="9" xfId="0" applyNumberFormat="1" applyFont="1" applyFill="1" applyBorder="1" applyAlignment="1">
      <alignment vertical="center"/>
    </xf>
    <xf numFmtId="173" fontId="41" fillId="13" borderId="0" xfId="0" applyNumberFormat="1" applyFont="1" applyFill="1" applyAlignment="1">
      <alignment vertical="center"/>
    </xf>
    <xf numFmtId="0" fontId="33" fillId="0" borderId="0" xfId="0" applyFont="1" applyFill="1" applyBorder="1" applyAlignment="1">
      <alignment horizontal="left" vertical="center"/>
    </xf>
    <xf numFmtId="3" fontId="33" fillId="0" borderId="0" xfId="0" applyNumberFormat="1" applyFont="1" applyFill="1" applyBorder="1" applyAlignment="1">
      <alignment horizontal="center" vertical="center"/>
    </xf>
    <xf numFmtId="0" fontId="22" fillId="0" borderId="0" xfId="0" applyFont="1" applyAlignment="1">
      <alignment horizontal="right" vertical="center"/>
    </xf>
    <xf numFmtId="164" fontId="22" fillId="0" borderId="0" xfId="8" applyFont="1" applyAlignment="1">
      <alignment horizontal="right" vertical="center"/>
    </xf>
    <xf numFmtId="2" fontId="25" fillId="0" borderId="0" xfId="0" applyNumberFormat="1" applyFont="1" applyFill="1" applyBorder="1" applyAlignment="1">
      <alignment horizontal="right" vertical="center"/>
    </xf>
    <xf numFmtId="4" fontId="22" fillId="0" borderId="0" xfId="0" applyNumberFormat="1" applyFont="1" applyFill="1" applyBorder="1" applyAlignment="1">
      <alignment horizontal="right" vertical="center"/>
    </xf>
    <xf numFmtId="4" fontId="32" fillId="9" borderId="0" xfId="0" applyNumberFormat="1" applyFont="1" applyFill="1" applyBorder="1" applyAlignment="1">
      <alignment horizontal="right" vertical="center" wrapText="1"/>
    </xf>
    <xf numFmtId="4" fontId="22" fillId="0" borderId="0" xfId="0" applyNumberFormat="1" applyFont="1" applyAlignment="1">
      <alignment horizontal="right" vertical="center"/>
    </xf>
    <xf numFmtId="4" fontId="33" fillId="0" borderId="0" xfId="0" applyNumberFormat="1" applyFont="1" applyFill="1" applyBorder="1" applyAlignment="1">
      <alignment horizontal="right" vertical="center"/>
    </xf>
    <xf numFmtId="0" fontId="42" fillId="0" borderId="0" xfId="0" applyFont="1"/>
    <xf numFmtId="177" fontId="43" fillId="0" borderId="0" xfId="0" applyNumberFormat="1" applyFont="1" applyFill="1" applyBorder="1" applyAlignment="1">
      <alignment vertical="center"/>
    </xf>
    <xf numFmtId="0" fontId="43" fillId="0" borderId="0" xfId="0" applyNumberFormat="1" applyFont="1" applyFill="1" applyBorder="1" applyAlignment="1">
      <alignment horizontal="center" vertical="center"/>
    </xf>
    <xf numFmtId="178" fontId="43" fillId="0" borderId="0" xfId="0" applyNumberFormat="1" applyFont="1" applyFill="1" applyBorder="1" applyAlignment="1">
      <alignment horizontal="center" vertical="center"/>
    </xf>
    <xf numFmtId="177" fontId="43" fillId="0" borderId="0" xfId="0" applyNumberFormat="1" applyFont="1" applyFill="1" applyBorder="1" applyAlignment="1">
      <alignment horizontal="center" vertical="center"/>
    </xf>
    <xf numFmtId="4" fontId="33" fillId="0" borderId="0" xfId="0" applyNumberFormat="1" applyFont="1" applyFill="1" applyBorder="1" applyAlignment="1">
      <alignment horizontal="center" vertical="center"/>
    </xf>
    <xf numFmtId="0" fontId="22" fillId="0" borderId="0" xfId="0" applyFont="1" applyAlignment="1">
      <alignment horizontal="left" vertical="center"/>
    </xf>
    <xf numFmtId="0" fontId="22" fillId="0" borderId="6" xfId="0" applyFont="1" applyBorder="1" applyAlignment="1">
      <alignment vertical="center"/>
    </xf>
    <xf numFmtId="0" fontId="22" fillId="0" borderId="6" xfId="0" applyFont="1" applyFill="1" applyBorder="1" applyAlignment="1">
      <alignment vertical="center"/>
    </xf>
    <xf numFmtId="4" fontId="22" fillId="0" borderId="6" xfId="0" applyNumberFormat="1" applyFont="1" applyFill="1" applyBorder="1" applyAlignment="1">
      <alignment horizontal="center" vertical="center"/>
    </xf>
    <xf numFmtId="4" fontId="22" fillId="0" borderId="6" xfId="0" applyNumberFormat="1" applyFont="1" applyBorder="1" applyAlignment="1">
      <alignment horizontal="center" vertical="center"/>
    </xf>
    <xf numFmtId="4" fontId="22" fillId="0" borderId="6" xfId="0" applyNumberFormat="1" applyFont="1" applyBorder="1" applyAlignment="1">
      <alignment horizontal="right" vertical="center"/>
    </xf>
    <xf numFmtId="3" fontId="22" fillId="0" borderId="6" xfId="8" applyNumberFormat="1" applyFont="1" applyBorder="1" applyAlignment="1">
      <alignment vertical="center"/>
    </xf>
    <xf numFmtId="20" fontId="22" fillId="0" borderId="0" xfId="0" quotePrefix="1" applyNumberFormat="1" applyFont="1" applyAlignment="1">
      <alignment horizontal="center" vertical="center"/>
    </xf>
    <xf numFmtId="0" fontId="44" fillId="11" borderId="0" xfId="0" applyFont="1" applyFill="1" applyAlignment="1">
      <alignment horizontal="center" vertical="center"/>
    </xf>
    <xf numFmtId="0" fontId="44" fillId="11" borderId="0" xfId="0" applyFont="1" applyFill="1" applyAlignment="1">
      <alignment horizontal="left" vertical="center"/>
    </xf>
    <xf numFmtId="0" fontId="44" fillId="11" borderId="0" xfId="0" applyFont="1" applyFill="1" applyAlignment="1">
      <alignment vertical="center"/>
    </xf>
    <xf numFmtId="4" fontId="44" fillId="11" borderId="0" xfId="0" applyNumberFormat="1" applyFont="1" applyFill="1" applyAlignment="1">
      <alignment horizontal="right" vertical="center"/>
    </xf>
    <xf numFmtId="173" fontId="44" fillId="11" borderId="0" xfId="0" applyNumberFormat="1" applyFont="1" applyFill="1" applyAlignment="1">
      <alignment horizontal="center" vertical="center"/>
    </xf>
    <xf numFmtId="0" fontId="33" fillId="7" borderId="23" xfId="0" applyFont="1" applyFill="1" applyBorder="1" applyAlignment="1">
      <alignment horizontal="left" vertical="center"/>
    </xf>
    <xf numFmtId="173" fontId="28" fillId="0" borderId="0" xfId="29" applyNumberFormat="1" applyFont="1"/>
    <xf numFmtId="0" fontId="45" fillId="0" borderId="0" xfId="0" applyFont="1" applyFill="1" applyBorder="1" applyAlignment="1">
      <alignment horizontal="center" vertical="center"/>
    </xf>
    <xf numFmtId="0" fontId="45" fillId="0" borderId="0" xfId="0" applyNumberFormat="1" applyFont="1" applyFill="1" applyBorder="1" applyAlignment="1">
      <alignment horizontal="center" vertical="center"/>
    </xf>
    <xf numFmtId="0" fontId="45" fillId="0" borderId="0" xfId="0" applyFont="1" applyFill="1" applyBorder="1" applyAlignment="1">
      <alignment horizontal="left" vertical="center"/>
    </xf>
    <xf numFmtId="177" fontId="45" fillId="0" borderId="0" xfId="0" applyNumberFormat="1" applyFont="1" applyFill="1" applyBorder="1" applyAlignment="1">
      <alignment vertical="center"/>
    </xf>
    <xf numFmtId="177" fontId="45" fillId="0" borderId="0" xfId="0" applyNumberFormat="1" applyFont="1" applyFill="1" applyBorder="1" applyAlignment="1">
      <alignment horizontal="center" vertical="center"/>
    </xf>
    <xf numFmtId="1" fontId="46" fillId="0" borderId="0" xfId="0" applyNumberFormat="1" applyFont="1" applyFill="1" applyBorder="1" applyAlignment="1">
      <alignment horizontal="center" vertical="center"/>
    </xf>
    <xf numFmtId="0" fontId="22" fillId="0" borderId="9" xfId="0" applyFont="1" applyBorder="1" applyAlignment="1">
      <alignment vertical="center"/>
    </xf>
    <xf numFmtId="170" fontId="22" fillId="5" borderId="9" xfId="0" applyNumberFormat="1" applyFont="1" applyFill="1" applyBorder="1" applyAlignment="1">
      <alignment horizontal="center" vertical="center"/>
    </xf>
    <xf numFmtId="0" fontId="33" fillId="12" borderId="0" xfId="0" applyFont="1" applyFill="1" applyAlignment="1">
      <alignment horizontal="center" vertical="center"/>
    </xf>
    <xf numFmtId="0" fontId="33" fillId="12" borderId="0" xfId="0" applyFont="1" applyFill="1" applyAlignment="1">
      <alignment horizontal="left" vertical="center"/>
    </xf>
    <xf numFmtId="0" fontId="33" fillId="12" borderId="0" xfId="0" applyFont="1" applyFill="1" applyAlignment="1">
      <alignment vertical="center"/>
    </xf>
    <xf numFmtId="0" fontId="33" fillId="12" borderId="0" xfId="0" applyFont="1" applyFill="1" applyAlignment="1">
      <alignment horizontal="right" vertical="center"/>
    </xf>
    <xf numFmtId="173" fontId="33" fillId="12" borderId="0" xfId="0" applyNumberFormat="1" applyFont="1" applyFill="1" applyAlignment="1">
      <alignment horizontal="center" vertical="center"/>
    </xf>
    <xf numFmtId="0" fontId="22" fillId="0" borderId="0" xfId="30" applyFont="1" applyAlignment="1">
      <alignment vertical="center"/>
    </xf>
    <xf numFmtId="0" fontId="31" fillId="10" borderId="9" xfId="0" applyFont="1" applyFill="1" applyBorder="1" applyAlignment="1">
      <alignment vertical="center" wrapText="1"/>
    </xf>
    <xf numFmtId="9" fontId="22" fillId="0" borderId="9" xfId="0" applyNumberFormat="1" applyFont="1" applyBorder="1" applyAlignment="1">
      <alignment vertical="center"/>
    </xf>
    <xf numFmtId="0" fontId="26" fillId="0" borderId="0" xfId="0" applyFont="1" applyAlignment="1">
      <alignment vertical="center"/>
    </xf>
    <xf numFmtId="0" fontId="24" fillId="0" borderId="0" xfId="0" applyFont="1" applyAlignment="1">
      <alignment horizontal="center" vertical="center"/>
    </xf>
    <xf numFmtId="170" fontId="22" fillId="0" borderId="0" xfId="0" applyNumberFormat="1" applyFont="1" applyAlignment="1">
      <alignment vertical="center"/>
    </xf>
    <xf numFmtId="172" fontId="22" fillId="0" borderId="9" xfId="31" applyNumberFormat="1" applyFont="1" applyBorder="1" applyAlignment="1" applyProtection="1">
      <alignment horizontal="left" vertical="center"/>
      <protection hidden="1"/>
    </xf>
    <xf numFmtId="183" fontId="22" fillId="0" borderId="9" xfId="0" applyNumberFormat="1" applyFont="1" applyBorder="1" applyAlignment="1">
      <alignment vertical="center"/>
    </xf>
    <xf numFmtId="9" fontId="22" fillId="0" borderId="9" xfId="44" applyFont="1" applyBorder="1" applyAlignment="1">
      <alignment vertical="center"/>
    </xf>
    <xf numFmtId="170" fontId="22" fillId="0" borderId="0" xfId="0" applyNumberFormat="1" applyFont="1" applyAlignment="1" applyProtection="1">
      <alignment horizontal="center" vertical="center"/>
      <protection locked="0"/>
    </xf>
    <xf numFmtId="166" fontId="22" fillId="0" borderId="0" xfId="0" applyNumberFormat="1" applyFont="1" applyAlignment="1" applyProtection="1">
      <alignment horizontal="left" vertical="center"/>
      <protection hidden="1"/>
    </xf>
    <xf numFmtId="170" fontId="22" fillId="0" borderId="9" xfId="0" applyNumberFormat="1" applyFont="1" applyBorder="1" applyAlignment="1">
      <alignment horizontal="center" vertical="center"/>
    </xf>
    <xf numFmtId="44" fontId="22" fillId="5" borderId="9" xfId="45" applyFont="1" applyFill="1" applyBorder="1" applyAlignment="1">
      <alignment horizontal="center" vertical="center"/>
    </xf>
    <xf numFmtId="171" fontId="22" fillId="0" borderId="9" xfId="0" applyNumberFormat="1" applyFont="1" applyBorder="1" applyAlignment="1">
      <alignment vertical="center"/>
    </xf>
    <xf numFmtId="171" fontId="22" fillId="0" borderId="9" xfId="2" applyFont="1" applyBorder="1" applyAlignment="1" applyProtection="1">
      <alignment horizontal="left" vertical="center"/>
      <protection locked="0"/>
    </xf>
    <xf numFmtId="170" fontId="22" fillId="0" borderId="0" xfId="0" applyNumberFormat="1" applyFont="1" applyAlignment="1">
      <alignment horizontal="center" vertical="center"/>
    </xf>
    <xf numFmtId="172" fontId="22" fillId="0" borderId="0" xfId="31" applyNumberFormat="1" applyFont="1" applyAlignment="1" applyProtection="1">
      <alignment horizontal="left" vertical="center"/>
      <protection hidden="1"/>
    </xf>
    <xf numFmtId="170" fontId="22" fillId="0" borderId="9" xfId="44" applyNumberFormat="1" applyFont="1" applyFill="1" applyBorder="1" applyAlignment="1">
      <alignment horizontal="center" vertical="center"/>
    </xf>
    <xf numFmtId="171" fontId="22" fillId="0" borderId="0" xfId="2" applyFont="1" applyAlignment="1" applyProtection="1">
      <alignment horizontal="left" vertical="center"/>
      <protection locked="0"/>
    </xf>
    <xf numFmtId="10" fontId="32" fillId="10" borderId="9" xfId="0" applyNumberFormat="1" applyFont="1" applyFill="1" applyBorder="1" applyAlignment="1">
      <alignment horizontal="center" vertical="center" wrapText="1"/>
    </xf>
    <xf numFmtId="0" fontId="32" fillId="9" borderId="0" xfId="0" applyFont="1" applyFill="1" applyAlignment="1">
      <alignment horizontal="center" vertical="center" wrapText="1"/>
    </xf>
    <xf numFmtId="44" fontId="33" fillId="0" borderId="20" xfId="45" applyFont="1" applyFill="1" applyBorder="1" applyAlignment="1">
      <alignment horizontal="left" vertical="center"/>
    </xf>
    <xf numFmtId="44" fontId="33" fillId="8" borderId="20" xfId="0" applyNumberFormat="1" applyFont="1" applyFill="1" applyBorder="1" applyAlignment="1">
      <alignment horizontal="left" vertical="center"/>
    </xf>
    <xf numFmtId="44" fontId="33" fillId="7" borderId="20" xfId="45" applyFont="1" applyFill="1" applyBorder="1" applyAlignment="1">
      <alignment horizontal="left" vertical="center"/>
    </xf>
    <xf numFmtId="44" fontId="33" fillId="8" borderId="20" xfId="45" applyFont="1" applyFill="1" applyBorder="1" applyAlignment="1">
      <alignment horizontal="left" vertical="center"/>
    </xf>
    <xf numFmtId="44" fontId="22" fillId="0" borderId="0" xfId="0" applyNumberFormat="1" applyFont="1" applyAlignment="1">
      <alignment vertical="center"/>
    </xf>
    <xf numFmtId="44" fontId="22" fillId="0" borderId="0" xfId="0" applyNumberFormat="1" applyFont="1" applyAlignment="1">
      <alignment horizontal="right" vertical="center"/>
    </xf>
    <xf numFmtId="0" fontId="33" fillId="0" borderId="0" xfId="0" applyFont="1" applyFill="1" applyBorder="1" applyAlignment="1">
      <alignment horizontal="center" vertical="center"/>
    </xf>
    <xf numFmtId="4" fontId="33" fillId="0" borderId="0" xfId="0" applyNumberFormat="1" applyFont="1" applyFill="1" applyBorder="1" applyAlignment="1">
      <alignment vertical="center"/>
    </xf>
    <xf numFmtId="173" fontId="33" fillId="0" borderId="0" xfId="0" applyNumberFormat="1" applyFont="1" applyFill="1" applyBorder="1" applyAlignment="1">
      <alignment horizontal="center" vertical="center"/>
    </xf>
    <xf numFmtId="0" fontId="33" fillId="13" borderId="0" xfId="0" applyFont="1" applyFill="1" applyAlignment="1">
      <alignment horizontal="left" vertical="center" wrapText="1"/>
    </xf>
    <xf numFmtId="44" fontId="22" fillId="0" borderId="20" xfId="45" applyFont="1" applyFill="1" applyBorder="1" applyAlignment="1">
      <alignment horizontal="left" vertical="center"/>
    </xf>
    <xf numFmtId="44" fontId="22" fillId="0" borderId="20" xfId="0" applyNumberFormat="1" applyFont="1" applyFill="1" applyBorder="1" applyAlignment="1">
      <alignment horizontal="left" vertical="center"/>
    </xf>
    <xf numFmtId="173" fontId="22" fillId="0" borderId="0" xfId="0" applyNumberFormat="1" applyFont="1" applyFill="1" applyAlignment="1">
      <alignment horizontal="left" vertical="center"/>
    </xf>
    <xf numFmtId="0" fontId="22" fillId="0" borderId="0" xfId="0" applyFont="1" applyFill="1" applyAlignment="1">
      <alignment horizontal="left" vertical="center" wrapText="1"/>
    </xf>
    <xf numFmtId="44" fontId="22" fillId="0" borderId="0" xfId="0" applyNumberFormat="1" applyFont="1" applyFill="1" applyAlignment="1">
      <alignment horizontal="left" vertical="center"/>
    </xf>
    <xf numFmtId="0" fontId="2" fillId="0" borderId="0" xfId="42" applyAlignment="1">
      <alignment wrapText="1"/>
    </xf>
    <xf numFmtId="0" fontId="2" fillId="0" borderId="9" xfId="46" applyFont="1" applyBorder="1" applyAlignment="1">
      <alignment horizontal="left" vertical="center" wrapText="1"/>
    </xf>
    <xf numFmtId="49" fontId="48" fillId="0" borderId="9" xfId="46" applyNumberFormat="1" applyFont="1" applyBorder="1" applyAlignment="1" applyProtection="1">
      <alignment horizontal="left" vertical="center" wrapText="1"/>
      <protection hidden="1"/>
    </xf>
    <xf numFmtId="0" fontId="2" fillId="6" borderId="9" xfId="46" applyFont="1" applyFill="1" applyBorder="1" applyAlignment="1">
      <alignment horizontal="left" vertical="center" wrapText="1"/>
    </xf>
    <xf numFmtId="49" fontId="48" fillId="6" borderId="9" xfId="46" applyNumberFormat="1" applyFont="1" applyFill="1" applyBorder="1" applyAlignment="1" applyProtection="1">
      <alignment horizontal="left" vertical="center" wrapText="1"/>
      <protection hidden="1"/>
    </xf>
    <xf numFmtId="0" fontId="48" fillId="0" borderId="9" xfId="46" applyFont="1" applyBorder="1" applyAlignment="1">
      <alignment horizontal="left" vertical="center" wrapText="1"/>
    </xf>
    <xf numFmtId="0" fontId="2" fillId="0" borderId="0" xfId="42" applyAlignment="1">
      <alignment horizontal="left" vertical="center" wrapText="1"/>
    </xf>
    <xf numFmtId="0" fontId="22" fillId="0" borderId="5" xfId="30" applyFont="1" applyBorder="1" applyAlignment="1">
      <alignment vertical="center"/>
    </xf>
    <xf numFmtId="0" fontId="22" fillId="6" borderId="5" xfId="30" applyFont="1" applyFill="1" applyBorder="1" applyAlignment="1">
      <alignment vertical="center"/>
    </xf>
    <xf numFmtId="0" fontId="22" fillId="0" borderId="10" xfId="30" applyFont="1" applyBorder="1" applyAlignment="1">
      <alignment vertical="center"/>
    </xf>
    <xf numFmtId="180" fontId="33" fillId="0" borderId="0" xfId="0" applyNumberFormat="1" applyFont="1" applyFill="1" applyBorder="1" applyAlignment="1">
      <alignment horizontal="center" vertical="center"/>
    </xf>
    <xf numFmtId="164" fontId="33" fillId="0" borderId="24"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4" fontId="39" fillId="0" borderId="0" xfId="0" applyNumberFormat="1" applyFont="1" applyFill="1" applyBorder="1" applyAlignment="1">
      <alignment vertical="center"/>
    </xf>
    <xf numFmtId="4" fontId="44" fillId="0" borderId="0" xfId="0" applyNumberFormat="1" applyFont="1" applyFill="1" applyBorder="1" applyAlignment="1">
      <alignment horizontal="right" vertical="center"/>
    </xf>
    <xf numFmtId="3" fontId="44" fillId="0" borderId="0" xfId="0" applyNumberFormat="1" applyFont="1" applyFill="1" applyBorder="1" applyAlignment="1">
      <alignment horizontal="center" vertical="center"/>
    </xf>
    <xf numFmtId="173" fontId="44" fillId="0" borderId="0" xfId="0" applyNumberFormat="1" applyFont="1" applyFill="1" applyBorder="1" applyAlignment="1">
      <alignment horizontal="center" vertical="center"/>
    </xf>
    <xf numFmtId="0" fontId="2" fillId="0" borderId="0" xfId="0" applyFont="1" applyFill="1" applyAlignment="1">
      <alignment vertical="center"/>
    </xf>
    <xf numFmtId="0" fontId="35" fillId="10" borderId="8" xfId="30" applyFont="1" applyFill="1" applyBorder="1" applyAlignment="1">
      <alignment horizontal="center" vertical="center" wrapText="1"/>
    </xf>
    <xf numFmtId="0" fontId="35" fillId="10" borderId="11" xfId="30" applyFont="1" applyFill="1" applyBorder="1" applyAlignment="1">
      <alignment horizontal="center" vertical="center" wrapText="1"/>
    </xf>
    <xf numFmtId="0" fontId="22" fillId="0" borderId="7" xfId="0" applyFont="1" applyBorder="1" applyAlignment="1">
      <alignment horizontal="left" vertical="center"/>
    </xf>
    <xf numFmtId="0" fontId="22" fillId="0" borderId="4" xfId="0" applyFont="1" applyBorder="1" applyAlignment="1">
      <alignment horizontal="left" vertical="center"/>
    </xf>
    <xf numFmtId="0" fontId="22" fillId="0" borderId="14" xfId="0" applyFont="1" applyBorder="1" applyAlignment="1">
      <alignment horizontal="left" vertical="center"/>
    </xf>
    <xf numFmtId="0" fontId="22" fillId="0" borderId="9" xfId="0" applyFont="1" applyBorder="1" applyAlignment="1">
      <alignment horizontal="left" vertical="center"/>
    </xf>
    <xf numFmtId="0" fontId="22" fillId="0" borderId="9" xfId="0" applyFont="1" applyBorder="1" applyAlignment="1">
      <alignment vertical="center"/>
    </xf>
    <xf numFmtId="0" fontId="37" fillId="13" borderId="7" xfId="0" applyFont="1" applyFill="1" applyBorder="1" applyAlignment="1">
      <alignment horizontal="left" vertical="center"/>
    </xf>
    <xf numFmtId="0" fontId="37" fillId="13" borderId="4" xfId="0" applyFont="1" applyFill="1" applyBorder="1" applyAlignment="1">
      <alignment horizontal="left" vertical="center"/>
    </xf>
    <xf numFmtId="0" fontId="37" fillId="13" borderId="14" xfId="0" applyFont="1" applyFill="1" applyBorder="1" applyAlignment="1">
      <alignment horizontal="left" vertical="center"/>
    </xf>
    <xf numFmtId="0" fontId="31" fillId="10" borderId="7" xfId="0" applyFont="1" applyFill="1" applyBorder="1" applyAlignment="1">
      <alignment horizontal="left" vertical="center" wrapText="1"/>
    </xf>
    <xf numFmtId="0" fontId="31" fillId="10" borderId="4" xfId="0" applyFont="1" applyFill="1" applyBorder="1" applyAlignment="1">
      <alignment horizontal="left" vertical="center" wrapText="1"/>
    </xf>
    <xf numFmtId="0" fontId="31" fillId="10" borderId="14" xfId="0" applyFont="1" applyFill="1" applyBorder="1" applyAlignment="1">
      <alignment horizontal="left" vertical="center" wrapText="1"/>
    </xf>
    <xf numFmtId="10" fontId="22" fillId="5" borderId="7" xfId="0" applyNumberFormat="1" applyFont="1" applyFill="1" applyBorder="1" applyAlignment="1">
      <alignment horizontal="left" vertical="center"/>
    </xf>
    <xf numFmtId="10" fontId="22" fillId="5" borderId="4" xfId="0" applyNumberFormat="1" applyFont="1" applyFill="1" applyBorder="1" applyAlignment="1">
      <alignment horizontal="left" vertical="center"/>
    </xf>
    <xf numFmtId="10" fontId="22" fillId="5" borderId="14" xfId="0" applyNumberFormat="1" applyFont="1" applyFill="1" applyBorder="1" applyAlignment="1">
      <alignment horizontal="left" vertical="center"/>
    </xf>
    <xf numFmtId="0" fontId="37" fillId="13" borderId="9" xfId="0" applyFont="1" applyFill="1" applyBorder="1" applyAlignment="1">
      <alignment horizontal="center" vertical="center"/>
    </xf>
    <xf numFmtId="9" fontId="22" fillId="0" borderId="7" xfId="0" applyNumberFormat="1" applyFont="1" applyBorder="1" applyAlignment="1">
      <alignment horizontal="left" vertical="center" wrapText="1"/>
    </xf>
    <xf numFmtId="9" fontId="22" fillId="0" borderId="14" xfId="0" applyNumberFormat="1" applyFont="1" applyBorder="1" applyAlignment="1">
      <alignment horizontal="left" vertical="center" wrapText="1"/>
    </xf>
    <xf numFmtId="0" fontId="30" fillId="0" borderId="0" xfId="30" applyFont="1" applyAlignment="1">
      <alignment horizontal="center" vertical="center"/>
    </xf>
    <xf numFmtId="170" fontId="22" fillId="5" borderId="9" xfId="0" applyNumberFormat="1" applyFont="1" applyFill="1" applyBorder="1" applyAlignment="1">
      <alignment horizontal="center" vertical="center"/>
    </xf>
    <xf numFmtId="9" fontId="22" fillId="0" borderId="7" xfId="0" applyNumberFormat="1" applyFont="1" applyBorder="1" applyAlignment="1">
      <alignment horizontal="left" vertical="center"/>
    </xf>
    <xf numFmtId="9" fontId="22" fillId="0" borderId="4" xfId="0" applyNumberFormat="1" applyFont="1" applyBorder="1" applyAlignment="1">
      <alignment horizontal="left" vertical="center"/>
    </xf>
    <xf numFmtId="9" fontId="22" fillId="0" borderId="14" xfId="0" applyNumberFormat="1" applyFont="1" applyBorder="1" applyAlignment="1">
      <alignment horizontal="left" vertical="center"/>
    </xf>
    <xf numFmtId="0" fontId="24" fillId="0" borderId="9" xfId="30" applyFont="1" applyBorder="1" applyAlignment="1">
      <alignment horizontal="center" vertical="center"/>
    </xf>
    <xf numFmtId="0" fontId="31" fillId="10" borderId="10"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31" fillId="10" borderId="13" xfId="0" applyFont="1" applyFill="1" applyBorder="1" applyAlignment="1">
      <alignment horizontal="center" vertical="center" wrapText="1"/>
    </xf>
    <xf numFmtId="170" fontId="24" fillId="5" borderId="7" xfId="0" applyNumberFormat="1" applyFont="1" applyFill="1" applyBorder="1" applyAlignment="1">
      <alignment horizontal="center" vertical="center"/>
    </xf>
    <xf numFmtId="170" fontId="22" fillId="5" borderId="4" xfId="0" applyNumberFormat="1" applyFont="1" applyFill="1" applyBorder="1" applyAlignment="1">
      <alignment horizontal="center" vertical="center"/>
    </xf>
    <xf numFmtId="0" fontId="30" fillId="0" borderId="6" xfId="30" applyFont="1" applyFill="1" applyBorder="1" applyAlignment="1">
      <alignment horizontal="center" vertical="center"/>
    </xf>
    <xf numFmtId="0" fontId="30" fillId="0" borderId="0" xfId="30" applyFont="1" applyFill="1" applyBorder="1" applyAlignment="1">
      <alignment horizontal="center" vertical="center"/>
    </xf>
    <xf numFmtId="0" fontId="24" fillId="13" borderId="7" xfId="0" applyFont="1" applyFill="1" applyBorder="1" applyAlignment="1">
      <alignment horizontal="center" vertical="center"/>
    </xf>
    <xf numFmtId="0" fontId="24" fillId="13" borderId="4" xfId="0" applyFont="1" applyFill="1" applyBorder="1" applyAlignment="1">
      <alignment horizontal="center" vertical="center"/>
    </xf>
    <xf numFmtId="0" fontId="24" fillId="13" borderId="14" xfId="0" applyFont="1" applyFill="1" applyBorder="1" applyAlignment="1">
      <alignment horizontal="center" vertical="center"/>
    </xf>
    <xf numFmtId="0" fontId="24" fillId="14" borderId="8" xfId="0" applyFont="1" applyFill="1" applyBorder="1" applyAlignment="1">
      <alignment horizontal="center" vertical="center"/>
    </xf>
    <xf numFmtId="0" fontId="24" fillId="14" borderId="21" xfId="0" applyFont="1" applyFill="1" applyBorder="1" applyAlignment="1">
      <alignment horizontal="center" vertical="center"/>
    </xf>
    <xf numFmtId="0" fontId="24" fillId="14" borderId="22" xfId="0" applyFont="1" applyFill="1" applyBorder="1" applyAlignment="1">
      <alignment horizontal="center" vertical="center"/>
    </xf>
    <xf numFmtId="0" fontId="24" fillId="13" borderId="8" xfId="0" applyFont="1" applyFill="1" applyBorder="1" applyAlignment="1">
      <alignment horizontal="center" vertical="center"/>
    </xf>
    <xf numFmtId="0" fontId="24" fillId="13" borderId="21" xfId="0" applyFont="1" applyFill="1" applyBorder="1" applyAlignment="1">
      <alignment horizontal="center" vertical="center"/>
    </xf>
    <xf numFmtId="0" fontId="24" fillId="13" borderId="22" xfId="0" applyFont="1" applyFill="1" applyBorder="1" applyAlignment="1">
      <alignment horizontal="center" vertical="center"/>
    </xf>
    <xf numFmtId="170" fontId="24" fillId="5" borderId="9" xfId="0" applyNumberFormat="1" applyFont="1" applyFill="1" applyBorder="1" applyAlignment="1">
      <alignment horizontal="center" vertical="center"/>
    </xf>
    <xf numFmtId="170" fontId="22" fillId="5" borderId="7" xfId="0" applyNumberFormat="1" applyFont="1" applyFill="1" applyBorder="1" applyAlignment="1">
      <alignment horizontal="center" vertical="center"/>
    </xf>
    <xf numFmtId="170" fontId="22" fillId="5" borderId="14" xfId="0" applyNumberFormat="1" applyFont="1" applyFill="1" applyBorder="1" applyAlignment="1">
      <alignment horizontal="center" vertical="center"/>
    </xf>
    <xf numFmtId="0" fontId="22" fillId="0" borderId="0" xfId="0" applyFont="1" applyAlignment="1">
      <alignment horizontal="left" vertical="center" wrapText="1"/>
    </xf>
    <xf numFmtId="0" fontId="22" fillId="0" borderId="8" xfId="0" applyFont="1" applyFill="1" applyBorder="1" applyAlignment="1">
      <alignment horizontal="center" vertical="center" textRotation="90"/>
    </xf>
    <xf numFmtId="0" fontId="22" fillId="0" borderId="11" xfId="0" applyFont="1" applyFill="1" applyBorder="1" applyAlignment="1">
      <alignment horizontal="center" vertical="center" textRotation="90"/>
    </xf>
    <xf numFmtId="0" fontId="22" fillId="0" borderId="12" xfId="0" applyFont="1" applyFill="1" applyBorder="1" applyAlignment="1">
      <alignment horizontal="center" vertical="center" textRotation="90"/>
    </xf>
    <xf numFmtId="0" fontId="22" fillId="0" borderId="8" xfId="0" applyFont="1" applyFill="1" applyBorder="1" applyAlignment="1">
      <alignment horizontal="center" vertical="center" textRotation="90" wrapText="1"/>
    </xf>
    <xf numFmtId="0" fontId="22" fillId="0" borderId="11" xfId="0" applyFont="1" applyFill="1" applyBorder="1" applyAlignment="1">
      <alignment horizontal="center" vertical="center" textRotation="90" wrapText="1"/>
    </xf>
    <xf numFmtId="0" fontId="22" fillId="0" borderId="12" xfId="0" applyFont="1" applyFill="1" applyBorder="1" applyAlignment="1">
      <alignment horizontal="center" vertical="center" textRotation="90" wrapText="1"/>
    </xf>
    <xf numFmtId="49" fontId="22" fillId="7" borderId="7" xfId="0" applyNumberFormat="1" applyFont="1" applyFill="1" applyBorder="1" applyAlignment="1">
      <alignment horizontal="center" vertical="center"/>
    </xf>
    <xf numFmtId="49" fontId="22" fillId="7" borderId="4" xfId="0" applyNumberFormat="1" applyFont="1" applyFill="1" applyBorder="1" applyAlignment="1">
      <alignment horizontal="center" vertical="center"/>
    </xf>
    <xf numFmtId="49" fontId="22" fillId="7" borderId="14" xfId="0" applyNumberFormat="1" applyFont="1" applyFill="1" applyBorder="1" applyAlignment="1">
      <alignment horizontal="center" vertical="center"/>
    </xf>
    <xf numFmtId="49" fontId="22" fillId="8" borderId="7" xfId="0" applyNumberFormat="1" applyFont="1" applyFill="1" applyBorder="1" applyAlignment="1">
      <alignment horizontal="center" vertical="center"/>
    </xf>
    <xf numFmtId="49" fontId="22" fillId="8" borderId="4" xfId="0" applyNumberFormat="1" applyFont="1" applyFill="1" applyBorder="1" applyAlignment="1">
      <alignment horizontal="center" vertical="center"/>
    </xf>
    <xf numFmtId="49" fontId="22" fillId="8" borderId="14" xfId="0" applyNumberFormat="1" applyFont="1" applyFill="1" applyBorder="1" applyAlignment="1">
      <alignment horizontal="center" vertical="center"/>
    </xf>
    <xf numFmtId="0" fontId="22" fillId="8" borderId="7"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14" xfId="0" applyFont="1" applyFill="1" applyBorder="1" applyAlignment="1">
      <alignment horizontal="center" vertical="center"/>
    </xf>
    <xf numFmtId="2" fontId="31" fillId="10" borderId="7" xfId="0" applyNumberFormat="1" applyFont="1" applyFill="1" applyBorder="1" applyAlignment="1">
      <alignment horizontal="left" vertical="center"/>
    </xf>
    <xf numFmtId="2" fontId="31" fillId="10" borderId="4" xfId="0" applyNumberFormat="1" applyFont="1" applyFill="1" applyBorder="1" applyAlignment="1">
      <alignment horizontal="left" vertical="center"/>
    </xf>
    <xf numFmtId="49" fontId="31" fillId="10" borderId="4" xfId="29" applyNumberFormat="1" applyFont="1" applyFill="1" applyBorder="1" applyAlignment="1">
      <alignment horizontal="left" vertical="center"/>
    </xf>
    <xf numFmtId="49" fontId="31" fillId="10" borderId="14" xfId="29" applyNumberFormat="1" applyFont="1" applyFill="1" applyBorder="1" applyAlignment="1">
      <alignment horizontal="left" vertical="center"/>
    </xf>
  </cellXfs>
  <cellStyles count="4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3" xfId="37" xr:uid="{00000000-0005-0000-0000-000016000000}"/>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4" xfId="30" xr:uid="{00000000-0005-0000-0000-000027000000}"/>
    <cellStyle name="Standaard 5" xfId="34" xr:uid="{00000000-0005-0000-0000-000028000000}"/>
    <cellStyle name="Standaard 6" xfId="46" xr:uid="{C8B5C47D-FB13-4B3A-952F-85AF5006DB30}"/>
    <cellStyle name="Valuta 2" xfId="31" xr:uid="{00000000-0005-0000-0000-000029000000}"/>
    <cellStyle name="Valuta 3" xfId="36" xr:uid="{00000000-0005-0000-0000-00002A000000}"/>
    <cellStyle name="Valuta 4" xfId="45" xr:uid="{5C764B3D-82CF-48E6-8C68-A8A71267D96C}"/>
    <cellStyle name="Währung [0]_Aufmaß" xfId="32" xr:uid="{00000000-0005-0000-0000-00002B000000}"/>
    <cellStyle name="Währung_Aufmaß" xfId="33" xr:uid="{00000000-0005-0000-0000-00002C000000}"/>
  </cellStyles>
  <dxfs count="172">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181"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182"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80"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181"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numFmt numFmtId="181"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34" formatCode="_ &quot;€&quot;\ * #,##0.00_ ;_ &quot;€&quot;\ * \-#,##0.00_ ;_ &quot;€&quot;\ * &quot;-&quot;??_ ;_ @_ "/>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34" formatCode="_ &quot;€&quot;\ * #,##0.00_ ;_ &quot;€&quot;\ * \-#,##0.00_ ;_ &quot;€&quot;\ * &quot;-&quot;??_ ;_ @_ "/>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34" formatCode="_ &quot;€&quot;\ * #,##0.00_ ;_ &quot;€&quot;\ * \-#,##0.00_ ;_ &quot;€&quot;\ * &quot;-&quot;??_ ;_ @_ "/>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34" formatCode="_ &quot;€&quot;\ * #,##0.00_ ;_ &quot;€&quot;\ * \-#,##0.00_ ;_ &quot;€&quot;\ * &quot;-&quot;??_ ;_ @_ "/>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34" formatCode="_ &quot;€&quot;\ * #,##0.00_ ;_ &quot;€&quot;\ * \-#,##0.00_ ;_ &quot;€&quot;\ * &quot;-&quot;??_ ;_ @_ "/>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solid">
          <fgColor theme="4" tint="0.79998168889431442"/>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Verdana"/>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ill>
        <patternFill>
          <bgColor theme="0" tint="-0.249977111117893"/>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4" formatCode="_ &quot;€&quot;\ * #,##0.00_ ;_ &quot;€&quot;\ * \-#,##0.00_ ;_ &quot;€&quot;\ * &quot;-&quot;??_ ;_ @_ "/>
    </dxf>
    <dxf>
      <numFmt numFmtId="34" formatCode="_ &quot;€&quot;\ * #,##0.00_ ;_ &quot;€&quot;\ * \-#,##0.00_ ;_ &quot;€&quot;\ * &quot;-&quot;??_ ;_ @_ "/>
    </dxf>
    <dxf>
      <numFmt numFmtId="34" formatCode="_ &quot;€&quot;\ * #,##0.00_ ;_ &quot;€&quot;\ * \-#,##0.00_ ;_ &quot;€&quot;\ * &quot;-&quot;??_ ;_ @_ "/>
    </dxf>
    <dxf>
      <numFmt numFmtId="34" formatCode="_ &quot;€&quot;\ * #,##0.00_ ;_ &quot;€&quot;\ * \-#,##0.00_ ;_ &quot;€&quot;\ * &quot;-&quot;??_ ;_ @_ "/>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numFmt numFmtId="34" formatCode="_ &quot;€&quot;\ * #,##0.00_ ;_ &quot;€&quot;\ * \-#,##0.00_ ;_ &quot;€&quot;\ * &quot;-&quot;??_ ;_ @_ "/>
    </dxf>
    <dxf>
      <numFmt numFmtId="34" formatCode="_ &quot;€&quot;\ * #,##0.00_ ;_ &quot;€&quot;\ * \-#,##0.00_ ;_ &quot;€&quot;\ * &quot;-&quot;??_ ;_ @_ "/>
    </dxf>
    <dxf>
      <numFmt numFmtId="34" formatCode="_ &quot;€&quot;\ * #,##0.00_ ;_ &quot;€&quot;\ * \-#,##0.00_ ;_ &quot;€&quot;\ * &quot;-&quot;??_ ;_ @_ "/>
    </dxf>
    <dxf>
      <numFmt numFmtId="34" formatCode="_ &quot;€&quot;\ * #,##0.00_ ;_ &quot;€&quot;\ * \-#,##0.00_ ;_ &quot;€&quot;\ * &quot;-&quot;??_ ;_ @_ "/>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left"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Verdana"/>
        <scheme val="none"/>
      </font>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164" formatCode="_-&quot;€&quot;\ * #,##0.00_-;_-&quot;€&quot;\ * #,##0.00\-;_-&quot;€&quot;\ * &quot;-&quot;??_-;_-@_-"/>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protection locked="1" hidden="1"/>
    </dxf>
    <dxf>
      <font>
        <b val="0"/>
        <i val="0"/>
        <strike val="0"/>
        <condense val="0"/>
        <extend val="0"/>
        <outline val="0"/>
        <shadow val="0"/>
        <u val="none"/>
        <vertAlign val="baseline"/>
        <sz val="9"/>
        <color auto="1"/>
        <name val="Verdana"/>
        <scheme val="none"/>
      </font>
      <numFmt numFmtId="2" formatCode="0.00"/>
      <fill>
        <patternFill patternType="none">
          <fgColor indexed="64"/>
          <bgColor indexed="65"/>
        </patternFill>
      </fill>
      <alignment vertical="center" indent="0" justifyLastLine="0" shrinkToFit="0" readingOrder="0"/>
      <protection locked="1" hidden="1"/>
    </dxf>
    <dxf>
      <font>
        <b val="0"/>
        <i val="0"/>
        <strike val="0"/>
        <condense val="0"/>
        <extend val="0"/>
        <outline val="0"/>
        <shadow val="0"/>
        <u val="none"/>
        <vertAlign val="baseline"/>
        <sz val="9"/>
        <color auto="1"/>
        <name val="Verdana"/>
        <scheme val="none"/>
      </font>
      <numFmt numFmtId="169" formatCode="0.000"/>
      <fill>
        <patternFill patternType="none">
          <fgColor indexed="64"/>
          <bgColor indexed="65"/>
        </patternFill>
      </fill>
      <alignment vertical="center" indent="0" justifyLastLine="0" shrinkToFit="0" readingOrder="0"/>
      <protection locked="1" hidden="1"/>
    </dxf>
    <dxf>
      <font>
        <b val="0"/>
        <i val="0"/>
        <strike val="0"/>
        <condense val="0"/>
        <extend val="0"/>
        <outline val="0"/>
        <shadow val="0"/>
        <u val="none"/>
        <vertAlign val="baseline"/>
        <sz val="9"/>
        <color auto="1"/>
        <name val="Verdana"/>
        <scheme val="none"/>
      </font>
      <numFmt numFmtId="169" formatCode="0.000"/>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64" formatCode="_-&quot;€&quot;\ * #,##0.00_-;_-&quot;€&quot;\ * #,##0.00\-;_-&quot;€&quot;\ * &quot;-&quot;??_-;_-@_-"/>
      <fill>
        <patternFill patternType="none">
          <fgColor indexed="64"/>
          <bgColor indexed="65"/>
        </patternFill>
      </fill>
      <alignment vertical="center" indent="0" justifyLastLine="0" shrinkToFit="0" readingOrder="0"/>
      <protection locked="1" hidden="1"/>
    </dxf>
    <dxf>
      <font>
        <b val="0"/>
        <i val="0"/>
        <strike val="0"/>
        <condense val="0"/>
        <extend val="0"/>
        <outline val="0"/>
        <shadow val="0"/>
        <u val="none"/>
        <vertAlign val="baseline"/>
        <sz val="9"/>
        <color auto="1"/>
        <name val="Verdana"/>
        <scheme val="none"/>
      </font>
      <numFmt numFmtId="2" formatCode="0.00"/>
      <fill>
        <patternFill patternType="none">
          <fgColor indexed="64"/>
          <bgColor indexed="65"/>
        </patternFill>
      </fill>
      <alignment vertical="center" indent="0" justifyLastLine="0" shrinkToFit="0" readingOrder="0"/>
      <protection locked="1" hidden="1"/>
    </dxf>
    <dxf>
      <font>
        <b val="0"/>
        <i val="0"/>
        <strike val="0"/>
        <condense val="0"/>
        <extend val="0"/>
        <outline val="0"/>
        <shadow val="0"/>
        <u val="none"/>
        <vertAlign val="baseline"/>
        <sz val="9"/>
        <color auto="1"/>
        <name val="Verdana"/>
        <scheme val="none"/>
      </font>
      <numFmt numFmtId="169" formatCode="0.000"/>
      <fill>
        <patternFill patternType="none">
          <fgColor indexed="64"/>
          <bgColor indexed="65"/>
        </patternFill>
      </fill>
      <alignment vertical="center" indent="0" justifyLastLine="0" shrinkToFit="0" readingOrder="0"/>
      <protection locked="1" hidden="1"/>
    </dxf>
    <dxf>
      <font>
        <b/>
        <i val="0"/>
        <strike val="0"/>
        <condense val="0"/>
        <extend val="0"/>
        <outline val="0"/>
        <shadow val="0"/>
        <u val="none"/>
        <vertAlign val="baseline"/>
        <sz val="9"/>
        <color auto="1"/>
        <name val="Verdana"/>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7" formatCode="General\ &quot;m²&quo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numFmt numFmtId="177" formatCode="General\ &quot;m²&quo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alignment vertical="center" textRotation="0" wrapText="0" indent="0" justifyLastLine="0" shrinkToFit="0" readingOrder="0"/>
    </dxf>
    <dxf>
      <alignment vertical="bottom" textRotation="0" wrapText="1" justifyLastLine="0" shrinkToFit="0" readingOrder="0"/>
    </dxf>
    <dxf>
      <font>
        <b val="0"/>
        <i val="0"/>
        <strike val="0"/>
        <condense val="0"/>
        <extend val="0"/>
        <outline val="0"/>
        <shadow val="0"/>
        <u val="none"/>
        <vertAlign val="baseline"/>
        <sz val="9"/>
        <color auto="1"/>
        <name val="Verdana"/>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scheme val="none"/>
      </font>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bottom" textRotation="0" wrapText="1" justifyLastLine="0" shrinkToFit="0" readingOrder="0"/>
    </dxf>
    <dxf>
      <font>
        <b/>
        <i val="0"/>
        <strike val="0"/>
        <condense val="0"/>
        <extend val="0"/>
        <outline val="0"/>
        <shadow val="0"/>
        <u val="none"/>
        <vertAlign val="baseline"/>
        <sz val="9"/>
        <color auto="1"/>
        <name val="Verdana"/>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general" vertical="center" textRotation="0" wrapText="1" indent="0" justifyLastLine="0" shrinkToFit="0" readingOrder="0"/>
    </dxf>
    <dxf>
      <font>
        <color rgb="FF9C0006"/>
      </font>
      <fill>
        <patternFill>
          <bgColor rgb="FFFFC7CE"/>
        </patternFill>
      </fill>
    </dxf>
  </dxfs>
  <tableStyles count="0" defaultTableStyle="TableStyleMedium9" defaultPivotStyle="PivotStyleLight16"/>
  <colors>
    <mruColors>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mmercie\Schoonmaak\Projectadministraties\Pr&#233;%20Kwalificaties%20&amp;%20Aanbestedingen\EA%20Amstelveen%20College\2.%20Originele%20aanvraag\Gegevens\Excel\Calc\AZR\AZR%20psychiatrie.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Commercie\Schoonmaak\Projectadministraties\Pr&#233;%20Kwalificaties%20&amp;%20Aanbestedingen\EA%20Amstelveen%20College\2.%20Originele%20aanvraag\Voor..van\meten%20glas\meten%20glas\meten%20glas\meten%20glas\meten%20glas\meten%20glas\meten%20glas\meten%20glas\atir.xls?302656D2" TargetMode="External"/><Relationship Id="rId1" Type="http://schemas.openxmlformats.org/officeDocument/2006/relationships/externalLinkPath" Target="file:///\\302656D2\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0:D30" totalsRowShown="0" headerRowDxfId="170" dataDxfId="169" headerRowCellStyle="Standaard 4">
  <autoFilter ref="A10:D30" xr:uid="{00000000-0009-0000-0100-000006000000}"/>
  <tableColumns count="4">
    <tableColumn id="1" xr3:uid="{00000000-0010-0000-0000-000001000000}" name="Code" dataDxfId="168" dataCellStyle="Standaard 4"/>
    <tableColumn id="2" xr3:uid="{00000000-0010-0000-0000-000002000000}" name="Ruimte omschrijving" dataDxfId="167" dataCellStyle="Standaard 4"/>
    <tableColumn id="3" xr3:uid="{00000000-0010-0000-0000-000003000000}" name="Norm (5w)" dataDxfId="166"/>
    <tableColumn id="4" xr3:uid="{00000000-0010-0000-0000-000004000000}" name="Inspectiecategorie" dataDxfId="165"/>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41" totalsRowCount="1" headerRowDxfId="53" dataDxfId="52" totalsRowDxfId="51">
  <autoFilter ref="B8:I40" xr:uid="{00000000-0009-0000-0100-00000B000000}"/>
  <tableColumns count="8">
    <tableColumn id="1" xr3:uid="{00000000-0010-0000-0B00-000001000000}" name="Werkzaamheid" totalsRowLabel="Totaal" totalsRowDxfId="50"/>
    <tableColumn id="2" xr3:uid="{00000000-0010-0000-0B00-000002000000}" name="Eenheid" totalsRowDxfId="49"/>
    <tableColumn id="3" xr3:uid="{00000000-0010-0000-0B00-000003000000}" name="Prijs excl. BTW" totalsRowDxfId="48"/>
    <tableColumn id="4" xr3:uid="{20339242-D37F-45D0-B3A9-D5D0277AA005}" name="2024" dataDxfId="47" totalsRowDxfId="46">
      <calculatedColumnFormula>InvulRegie[[#This Row],[Prijs excl. BTW]]*Tariefsopbouw!$I$37+InvulRegie[[#This Row],[Prijs excl. BTW]]</calculatedColumnFormula>
    </tableColumn>
    <tableColumn id="5" xr3:uid="{98710F61-FEB9-4108-AD80-85E42E12F88F}" name="2025" dataDxfId="45" totalsRowDxfId="44">
      <calculatedColumnFormula>InvulRegie[[#This Row],[2024]]*Tariefsopbouw!$K$37+InvulRegie[[#This Row],[2024]]</calculatedColumnFormula>
    </tableColumn>
    <tableColumn id="6" xr3:uid="{DA4A687B-70D0-4179-B678-42FA080B354F}" name="2026" dataDxfId="43" totalsRowDxfId="42">
      <calculatedColumnFormula>InvulRegie[[#This Row],[2025]]*Tariefsopbouw!$M$37+InvulRegie[[#This Row],[2025]]</calculatedColumnFormula>
    </tableColumn>
    <tableColumn id="7" xr3:uid="{FA946E46-8412-420B-AA1A-C1F4D582105F}" name="2027" dataDxfId="41" totalsRowDxfId="40">
      <calculatedColumnFormula>InvulRegie[[#This Row],[2026]]*Tariefsopbouw!$O$37+InvulRegie[[#This Row],[2026]]</calculatedColumnFormula>
    </tableColumn>
    <tableColumn id="8" xr3:uid="{00A92510-BD5B-4E71-BCF5-F352086DB0C7}" name="2028" dataDxfId="39" totalsRowDxfId="38">
      <calculatedColumnFormula>InvulRegie[[#This Row],[2027]]*Tariefsopbouw!$Q$37+InvulRegie[[#This Row],[2027]]</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H8" totalsRowCount="1" headerRowDxfId="37" dataDxfId="35" totalsRowDxfId="33" headerRowBorderDxfId="36" tableBorderDxfId="34">
  <autoFilter ref="A6:H7" xr:uid="{00000000-0009-0000-0100-00000E000000}"/>
  <tableColumns count="8">
    <tableColumn id="8" xr3:uid="{00000000-0010-0000-0C00-000008000000}" name="Code Locatie" dataDxfId="32" totalsRowDxfId="31"/>
    <tableColumn id="1" xr3:uid="{00000000-0010-0000-0C00-000001000000}" name="Locatie" totalsRowLabel="Totaal" dataDxfId="30" totalsRowDxfId="29"/>
    <tableColumn id="2" xr3:uid="{00000000-0010-0000-0C00-000002000000}" name="Oppervlakte i/o" totalsRowFunction="sum" dataDxfId="28" totalsRowDxfId="27"/>
    <tableColumn id="3" xr3:uid="{00000000-0010-0000-0C00-000003000000}" name="Prest. (m2 /jaar)" totalsRowFunction="sum" dataDxfId="26" totalsRowDxfId="25"/>
    <tableColumn id="4" xr3:uid="{00000000-0010-0000-0C00-000004000000}" name="Uren / jaar" totalsRowFunction="sum" dataDxfId="24" totalsRowDxfId="23"/>
    <tableColumn id="5" xr3:uid="{00000000-0010-0000-0C00-000005000000}" name="Norm (m2/uur)" totalsRowFunction="custom" dataDxfId="22" totalsRowDxfId="21">
      <calculatedColumnFormula>D7/E7</calculatedColumnFormula>
      <totalsRowFormula>Samenvattingschoonmaak[[#Totals],[Prest. (m2 /jaar)]]/Samenvattingschoonmaak[[#Totals],[Uren / jaar]]</totalsRowFormula>
    </tableColumn>
    <tableColumn id="6" xr3:uid="{00000000-0010-0000-0C00-000006000000}" name="Kosten / jaar" totalsRowFunction="sum" dataDxfId="20" totalsRowDxfId="19"/>
    <tableColumn id="7" xr3:uid="{00000000-0010-0000-0C00-000007000000}" name="Kosten / m2" totalsRowFunction="custom" dataDxfId="18" totalsRowDxfId="17">
      <calculatedColumnFormula>G7/C7</calculatedColumnFormula>
      <totalsRowFormula>Samenvattingschoonmaak[[#Totals],[Kosten / jaar]]/Samenvattingschoonmaak[[#Totals],[Oppervlakte i/o]]</totalsRow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F13" totalsRowCount="1" headerRowDxfId="16" dataDxfId="14" totalsRowDxfId="12" headerRowBorderDxfId="15" tableBorderDxfId="13">
  <autoFilter ref="A11:F12" xr:uid="{00000000-0009-0000-0100-00000F000000}"/>
  <tableColumns count="6">
    <tableColumn id="8" xr3:uid="{00000000-0010-0000-0D00-000008000000}" name="Code Locatie" dataDxfId="11" totalsRowDxfId="10"/>
    <tableColumn id="1" xr3:uid="{00000000-0010-0000-0D00-000001000000}" name="Locaties" totalsRowLabel="Totaal" dataDxfId="9" totalsRowDxfId="8">
      <calculatedColumnFormula>VLOOKUP(Totalisatie[[#This Row],[Code Locatie]],Locaties[],2,0)</calculatedColumnFormula>
    </tableColumn>
    <tableColumn id="4" xr3:uid="{00000000-0010-0000-0D00-000004000000}" name="Schoonmaakonderhoud_x000a_Kosten / jaar" totalsRowFunction="sum" dataDxfId="7" totalsRowDxfId="6">
      <calculatedColumnFormula>SUMIF('Ruimtestaat'!A:A,Totalisatie[[#This Row],[Code Locatie]],'Ruimtestaat'!AG:AG)</calculatedColumnFormula>
    </tableColumn>
    <tableColumn id="2" xr3:uid="{00000000-0010-0000-0D00-000002000000}" name="Vloeronderhoud_x000a_Kosten / jaar" totalsRowFunction="sum" dataDxfId="5" totalsRowDxfId="4">
      <calculatedColumnFormula>SUMIF(Vloeronderhoud!$A$21:$A$25,Totalisatie[[#This Row],[Code Locatie]],Vloeronderhoud!$H$21:$H$25)</calculatedColumnFormula>
    </tableColumn>
    <tableColumn id="3" xr3:uid="{00000000-0010-0000-0D00-000003000000}" name="Extra Werkzaamheden_x000a_Kosten / jaar" totalsRowFunction="sum" dataDxfId="3" totalsRowDxfId="2">
      <calculatedColumnFormula>SUMIF(OverzichtExtra[Code Locatie],Totalisatie[[#This Row],[Code Locatie]],OverzichtExtra[Kosten/jaar excl. BTW])</calculatedColumnFormula>
    </tableColumn>
    <tableColumn id="7" xr3:uid="{00000000-0010-0000-0D00-000007000000}" name="Totaalprijs_x000a_Kosten / jaar" totalsRowFunction="sum" dataDxfId="1" totalsRowDxfId="0">
      <calculatedColumnFormula>SUM(Totalisatie[[#This Row],[Schoonmaakonderhoud
Kosten / jaar]:[Extra Werkzaamheden
Kosten / jaar]])</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3:F37" totalsRowShown="0" headerRowDxfId="164" dataDxfId="163">
  <autoFilter ref="A33:F37" xr:uid="{00000000-0009-0000-0100-000007000000}"/>
  <tableColumns count="6">
    <tableColumn id="1" xr3:uid="{00000000-0010-0000-0100-000001000000}" name="Code" dataDxfId="162"/>
    <tableColumn id="4" xr3:uid="{00000000-0010-0000-0100-000004000000}" name="Naam" dataDxfId="161"/>
    <tableColumn id="5" xr3:uid="{00000000-0010-0000-0100-000005000000}" name="Aanpassing norm" dataDxfId="160" dataCellStyle="Procent"/>
    <tableColumn id="2" xr3:uid="{00000000-0010-0000-0100-000002000000}" name="Vloersoort omschrijving" dataDxfId="159" dataCellStyle="Standaard 4"/>
    <tableColumn id="7" xr3:uid="{00000000-0010-0000-0100-000007000000}" name="Kolom2" dataDxfId="158" dataCellStyle="Standaard 4"/>
    <tableColumn id="6" xr3:uid="{00000000-0010-0000-0100-000006000000}" name="Kolom1" dataDxfId="157" dataCellStyle="Standaard 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C50" totalsRowShown="0" headerRowDxfId="156" dataDxfId="155">
  <autoFilter ref="A40:C50" xr:uid="{00000000-0009-0000-0100-000008000000}"/>
  <tableColumns count="3">
    <tableColumn id="1" xr3:uid="{00000000-0010-0000-0200-000001000000}" name="Code" dataDxfId="154" dataCellStyle="Standaard 4"/>
    <tableColumn id="2" xr3:uid="{00000000-0010-0000-0200-000002000000}" name="Frequentie omschrijving" dataDxfId="153" dataCellStyle="Standaard 4"/>
    <tableColumn id="3" xr3:uid="{00000000-0010-0000-0200-000003000000}" name="Aanpassing norm" dataDxfId="152" dataCellStyle="Pro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6:F7" totalsRowShown="0" dataDxfId="151">
  <autoFilter ref="A6:F7" xr:uid="{00000000-0009-0000-0100-00000D000000}"/>
  <tableColumns count="6">
    <tableColumn id="1" xr3:uid="{00000000-0010-0000-0300-000001000000}" name="Code" dataDxfId="150"/>
    <tableColumn id="2" xr3:uid="{00000000-0010-0000-0300-000002000000}" name="Locatie" dataDxfId="149"/>
    <tableColumn id="7" xr3:uid="{00000000-0010-0000-0300-000007000000}" name="Aanpassing norm" dataDxfId="148"/>
    <tableColumn id="3" xr3:uid="{00000000-0010-0000-0300-000003000000}" name="Adres" dataDxfId="147"/>
    <tableColumn id="4" xr3:uid="{00000000-0010-0000-0300-000004000000}" name="Postcode" dataDxfId="146"/>
    <tableColumn id="5" xr3:uid="{00000000-0010-0000-0300-000005000000}" name="Plaats" dataDxfId="14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AG263" totalsRowShown="0" headerRowDxfId="144" dataDxfId="143">
  <autoFilter ref="A4:AG263" xr:uid="{00000000-0009-0000-0100-000009000000}"/>
  <tableColumns count="33">
    <tableColumn id="32" xr3:uid="{00000000-0010-0000-0400-000020000000}" name="Code" dataDxfId="142"/>
    <tableColumn id="1" xr3:uid="{00000000-0010-0000-0400-000001000000}" name="Locatie" dataDxfId="141"/>
    <tableColumn id="3" xr3:uid="{00000000-0010-0000-0400-000003000000}" name="Adres" dataDxfId="140">
      <calculatedColumnFormula>VLOOKUP(Ruimtestaat[[#This Row],[Code]],Locaties[#All],4,FALSE)</calculatedColumnFormula>
    </tableColumn>
    <tableColumn id="4" xr3:uid="{00000000-0010-0000-0400-000004000000}" name="Postcode" dataDxfId="139">
      <calculatedColumnFormula>VLOOKUP(Ruimtestaat[[#This Row],[Code]],Locaties[#All],5,FALSE)</calculatedColumnFormula>
    </tableColumn>
    <tableColumn id="5" xr3:uid="{00000000-0010-0000-0400-000005000000}" name="Plaats" dataDxfId="138">
      <calculatedColumnFormula>VLOOKUP(Ruimtestaat[[#This Row],[Code]],Locaties[#All],6,FALSE)</calculatedColumnFormula>
    </tableColumn>
    <tableColumn id="2" xr3:uid="{00000000-0010-0000-0400-000002000000}" name="Gebouw gedeelte" dataDxfId="137"/>
    <tableColumn id="6" xr3:uid="{00000000-0010-0000-0400-000006000000}" name="Etage" dataDxfId="136"/>
    <tableColumn id="7" xr3:uid="{00000000-0010-0000-0400-000007000000}" name="Ruimte- nummer" dataDxfId="135"/>
    <tableColumn id="8" xr3:uid="{00000000-0010-0000-0400-000008000000}" name="Ruimte omschrijving" dataDxfId="134"/>
    <tableColumn id="9" xr3:uid="{00000000-0010-0000-0400-000009000000}" name="Ruimte code" dataDxfId="133"/>
    <tableColumn id="10" xr3:uid="{00000000-0010-0000-0400-00000A000000}" name="Ruimtesoort" dataDxfId="132"/>
    <tableColumn id="11" xr3:uid="{00000000-0010-0000-0400-00000B000000}" name="Vloer code" dataDxfId="131"/>
    <tableColumn id="12" xr3:uid="{00000000-0010-0000-0400-00000C000000}" name="Vloer afwerking" dataDxfId="130"/>
    <tableColumn id="13" xr3:uid="{00000000-0010-0000-0400-00000D000000}" name="Oppervlak (netto)" dataDxfId="129"/>
    <tableColumn id="14" xr3:uid="{00000000-0010-0000-0400-00000E000000}" name="Oppervlakte n.i.o." dataDxfId="128"/>
    <tableColumn id="15" xr3:uid="{00000000-0010-0000-0400-00000F000000}" name="Inspectie categorie" dataDxfId="127">
      <calculatedColumnFormula>LEFT(VLOOKUP(Ruimtestaat[[#This Row],[Ruimte code]],Ruimtegroepen[#All],4,1),2)</calculatedColumnFormula>
    </tableColumn>
    <tableColumn id="16" xr3:uid="{00000000-0010-0000-0400-000010000000}" name="Opmerking" dataDxfId="126"/>
    <tableColumn id="17" xr3:uid="{00000000-0010-0000-0400-000011000000}" name="Aantal weken/jr" dataDxfId="125"/>
    <tableColumn id="18" xr3:uid="{00000000-0010-0000-0400-000012000000}" name="Frequentie werkdagen" dataDxfId="124"/>
    <tableColumn id="19" xr3:uid="{00000000-0010-0000-0400-000013000000}" name="Uitvoeringen werkdagen" dataDxfId="123">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22">
      <calculatedColumnFormula>IF(T5&gt;0,VLOOKUP($J5,Ruimtegroepen[],3,FALSE)*VLOOKUP($L5,Vloersoorten[],3,FALSE)*VLOOKUP($S5,Frequenties[],3,FALSE)*VLOOKUP($A5,Locaties[],3,FALSE),0)</calculatedColumnFormula>
    </tableColumn>
    <tableColumn id="21" xr3:uid="{00000000-0010-0000-0400-000015000000}" name="Prest. (m2 /jaar) werkdagen" dataDxfId="121"/>
    <tableColumn id="22" xr3:uid="{00000000-0010-0000-0400-000016000000}" name="uren / jaar werkdagen" dataDxfId="120">
      <calculatedColumnFormula>IF(U5&gt;0,Ruimtestaat[[#This Row],[Prest. (m2 /jaar) werkdagen]]/Ruimtestaat[[#This Row],[Norm (m2/uur) werkdagen]],0)</calculatedColumnFormula>
    </tableColumn>
    <tableColumn id="23" xr3:uid="{00000000-0010-0000-0400-000017000000}" name="kosten / jaar werkdagen" dataDxfId="119">
      <calculatedColumnFormula>Ruimtestaat[[#This Row],[uren / jaar werkdagen]]*Tariefsopbouw!$E$35</calculatedColumnFormula>
    </tableColumn>
    <tableColumn id="24" xr3:uid="{00000000-0010-0000-0400-000018000000}" name="Frequentie weekend" dataDxfId="118"/>
    <tableColumn id="38" xr3:uid="{00000000-0010-0000-0400-000026000000}" name="Uitvoeringen weekend" dataDxfId="117">
      <calculatedColumnFormula>IF(Ruimtestaat[[#This Row],[Frequentie weekend]]&gt;0,VALUE(LEFT(Y5,1))*R5,0)</calculatedColumnFormula>
    </tableColumn>
    <tableColumn id="25" xr3:uid="{00000000-0010-0000-0400-000019000000}" name="Norm (m2/uur) weekend" dataDxfId="116">
      <calculatedColumnFormula>IF($Z5&gt;0,VLOOKUP($J5,Ruimtegroepen[],3,FALSE)*VLOOKUP($L5,Vloersoorten[],3,FALSE)*VLOOKUP($Y5,Frequenties[],3,FALSE)*VLOOKUP($A1,Locaties[],3,FALSE),0)</calculatedColumnFormula>
    </tableColumn>
    <tableColumn id="26" xr3:uid="{00000000-0010-0000-0400-00001A000000}" name="Prest. (m2 /jaar) weekend" dataDxfId="115"/>
    <tableColumn id="27" xr3:uid="{00000000-0010-0000-0400-00001B000000}" name="uren / jaar weekend" dataDxfId="114"/>
    <tableColumn id="28" xr3:uid="{00000000-0010-0000-0400-00001C000000}" name="kosten / jaar weekend" dataDxfId="113">
      <calculatedColumnFormula>Ruimtestaat[[#This Row],[uren / jaar weekend]]*Tariefsopbouw!$D$40</calculatedColumnFormula>
    </tableColumn>
    <tableColumn id="29" xr3:uid="{00000000-0010-0000-0400-00001D000000}" name="Prest. (m2 /jaar)" dataDxfId="112" dataCellStyle="Komma">
      <calculatedColumnFormula>Ruimtestaat[[#This Row],[Prest. (m2 /jaar) weekend]]+Ruimtestaat[[#This Row],[Prest. (m2 /jaar) werkdagen]]</calculatedColumnFormula>
    </tableColumn>
    <tableColumn id="30" xr3:uid="{00000000-0010-0000-0400-00001E000000}" name="uren / jaar" dataDxfId="111" dataCellStyle="Komma">
      <calculatedColumnFormula>Ruimtestaat[[#This Row],[uren / jaar weekend]]+Ruimtestaat[[#This Row],[uren / jaar werkdagen]]</calculatedColumnFormula>
    </tableColumn>
    <tableColumn id="31" xr3:uid="{00000000-0010-0000-0400-00001F000000}" name="kosten / jaar" dataDxfId="110">
      <calculatedColumnFormula>Ruimtestaat[[#This Row],[kosten / jaar weekend]]+Ruimtestaat[[#This Row],[kosten / jaar werkdagen]]</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InvulVloer" displayName="InvulVloer" ref="A8:I17" totalsRowShown="0" headerRowDxfId="109">
  <autoFilter ref="A8:I17" xr:uid="{00000000-0009-0000-0100-000001000000}"/>
  <tableColumns count="9">
    <tableColumn id="1" xr3:uid="{00000000-0010-0000-0700-000001000000}" name="Code Taak" dataDxfId="108"/>
    <tableColumn id="2" xr3:uid="{00000000-0010-0000-0700-000002000000}" name="Werkzaamheden"/>
    <tableColumn id="3" xr3:uid="{00000000-0010-0000-0700-000003000000}" name="Prijs" dataDxfId="107"/>
    <tableColumn id="4" xr3:uid="{00000000-0010-0000-0700-000004000000}" name="Omschrijving" dataDxfId="106"/>
    <tableColumn id="5" xr3:uid="{7B224336-2E90-4786-8885-F9B3CAAAC600}" name="2024" dataDxfId="105" dataCellStyle="Valuta 4">
      <calculatedColumnFormula>InvulVloer[[#This Row],[Prijs]]*Tariefsopbouw!$I$37+InvulVloer[[#This Row],[Prijs]]</calculatedColumnFormula>
    </tableColumn>
    <tableColumn id="6" xr3:uid="{0211B985-6953-45B6-8A6A-749D6F313951}" name="2025" dataDxfId="104">
      <calculatedColumnFormula>InvulVloer[[#This Row],[2024]]*Tariefsopbouw!$K$37+InvulVloer[[#This Row],[2024]]</calculatedColumnFormula>
    </tableColumn>
    <tableColumn id="7" xr3:uid="{9E193464-F35C-49B3-A477-D7B0835ABCF2}" name="2026" dataDxfId="103">
      <calculatedColumnFormula>InvulVloer[[#This Row],[2025]]*Tariefsopbouw!$M$37+InvulVloer[[#This Row],[2025]]</calculatedColumnFormula>
    </tableColumn>
    <tableColumn id="8" xr3:uid="{8069DF64-F4BB-49BA-8609-74BCEBC0E84C}" name="2027" dataDxfId="102">
      <calculatedColumnFormula>InvulVloer[[#This Row],[2026]]*Tariefsopbouw!$O$37+InvulVloer[[#This Row],[2026]]</calculatedColumnFormula>
    </tableColumn>
    <tableColumn id="9" xr3:uid="{FCBF02FF-403C-4DC9-8F5B-108F47020EEA}" name="2028" dataDxfId="101">
      <calculatedColumnFormula>InvulVloer[[#This Row],[2027]]*Tariefsopbouw!$Q$37+InvulVloer[[#This Row],[2027]]</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OverzichtVloer" displayName="OverzichtVloer" ref="A20:H25" totalsRowCount="1" headerRowDxfId="100" dataDxfId="99" totalsRowDxfId="98">
  <autoFilter ref="A20:H24" xr:uid="{00000000-0009-0000-0100-000002000000}"/>
  <tableColumns count="8">
    <tableColumn id="11" xr3:uid="{00000000-0010-0000-0800-00000B000000}" name="Code Locatie" dataDxfId="97" totalsRowDxfId="96"/>
    <tableColumn id="1" xr3:uid="{00000000-0010-0000-0800-000001000000}" name="Locatie" totalsRowLabel="Totaal" dataDxfId="95" totalsRowDxfId="94"/>
    <tableColumn id="3" xr3:uid="{00000000-0010-0000-0800-000003000000}" name="Code Taak" dataDxfId="93" totalsRowDxfId="92"/>
    <tableColumn id="4" xr3:uid="{00000000-0010-0000-0800-000004000000}" name="Werkzaamheden" dataDxfId="91" totalsRowDxfId="90">
      <calculatedColumnFormula>IF(Vloeronderhoud!$C21&gt;0,VLOOKUP(Vloeronderhoud!$C21,$A$8:$B$17,2,FALSE),"")</calculatedColumnFormula>
    </tableColumn>
    <tableColumn id="5" xr3:uid="{00000000-0010-0000-0800-000005000000}" name="Vloersoort" dataDxfId="89" totalsRowDxfId="88"/>
    <tableColumn id="6" xr3:uid="{00000000-0010-0000-0800-000006000000}" name="Oppervlakte" dataDxfId="87" totalsRowDxfId="86">
      <calculatedColumnFormula>SUMIFS('Ruimtestaat'!$N:$N,'Ruimtestaat'!L:L,Vloeronderhoud!E21,'Ruimtestaat'!A:A,Vloeronderhoud!A21)</calculatedColumnFormula>
    </tableColumn>
    <tableColumn id="8" xr3:uid="{00000000-0010-0000-0800-000008000000}" name="Frequentie (uitv./jaar)" dataDxfId="85" totalsRowDxfId="84"/>
    <tableColumn id="9" xr3:uid="{00000000-0010-0000-0800-000009000000}" name="Kosten/jaar excl. BTW" totalsRowFunction="sum" dataDxfId="83" totalsRowDxfId="82">
      <calculatedColumnFormula>G21*#REF!*F21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InvulExtra" displayName="InvulExtra" ref="A8:J11" totalsRowShown="0">
  <autoFilter ref="A8:J11" xr:uid="{00000000-0009-0000-0100-000005000000}"/>
  <tableColumns count="10">
    <tableColumn id="1" xr3:uid="{00000000-0010-0000-0900-000001000000}" name="Code Taak" dataDxfId="81"/>
    <tableColumn id="2" xr3:uid="{00000000-0010-0000-0900-000002000000}" name="Werkzaamheid"/>
    <tableColumn id="3" xr3:uid="{00000000-0010-0000-0900-000003000000}" name="Eenheid" dataDxfId="80"/>
    <tableColumn id="4" xr3:uid="{00000000-0010-0000-0900-000004000000}" name="Toelichting" dataDxfId="79"/>
    <tableColumn id="5" xr3:uid="{00000000-0010-0000-0900-000005000000}" name="Prijs_x000a_Excl. BTW" dataDxfId="78"/>
    <tableColumn id="6" xr3:uid="{3FB7F131-71FC-463C-8C00-D6DD0FDF1529}" name="2024" dataDxfId="77" dataCellStyle="Valuta 4">
      <calculatedColumnFormula>InvulExtra[[#This Row],[Prijs
Excl. BTW]]*Tariefsopbouw!$I$37+InvulExtra[[#This Row],[Prijs
Excl. BTW]]</calculatedColumnFormula>
    </tableColumn>
    <tableColumn id="7" xr3:uid="{CED55A0D-B25D-48E4-82C4-67D1CBD29C60}" name="2025" dataDxfId="76">
      <calculatedColumnFormula>InvulExtra[[#This Row],[2024]]*Tariefsopbouw!$K$37+InvulExtra[[#This Row],[2024]]</calculatedColumnFormula>
    </tableColumn>
    <tableColumn id="8" xr3:uid="{F66BBAFC-F378-4A72-A8A0-882B5B42BA69}" name="2026" dataDxfId="75">
      <calculatedColumnFormula>InvulExtra[[#This Row],[2025]]*Tariefsopbouw!$M$37+InvulExtra[[#This Row],[2025]]</calculatedColumnFormula>
    </tableColumn>
    <tableColumn id="9" xr3:uid="{D06F598A-5F46-4D18-8F56-D5615B461E3E}" name="2027" dataDxfId="74">
      <calculatedColumnFormula>InvulExtra[[#This Row],[2026]]*Tariefsopbouw!$O$37+InvulExtra[[#This Row],[2026]]</calculatedColumnFormula>
    </tableColumn>
    <tableColumn id="10" xr3:uid="{ADDE6AC4-A9FB-4C2E-BFEA-AB7183EB36E0}" name="2028" dataDxfId="73">
      <calculatedColumnFormula>InvulExtra[[#This Row],[2027]]*Tariefsopbouw!$Q$37+InvulExtra[[#This Row],[2027]]</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OverzichtExtra" displayName="OverzichtExtra" ref="A14:H18" totalsRowCount="1" headerRowDxfId="72" dataDxfId="71" totalsRowDxfId="70">
  <autoFilter ref="A14:H17" xr:uid="{00000000-0009-0000-0100-00000A000000}"/>
  <tableColumns count="8">
    <tableColumn id="9" xr3:uid="{00000000-0010-0000-0A00-000009000000}" name="Code Locatie" dataDxfId="69" totalsRowDxfId="68"/>
    <tableColumn id="1" xr3:uid="{00000000-0010-0000-0A00-000001000000}" name="Locatie" totalsRowLabel="Totaal" dataDxfId="67" totalsRowDxfId="66">
      <calculatedColumnFormula>VLOOKUP(OverzichtExtra[[#This Row],[Code Locatie]],Locaties[],2,0)</calculatedColumnFormula>
    </tableColumn>
    <tableColumn id="3" xr3:uid="{00000000-0010-0000-0A00-000003000000}" name="Code Taak" dataDxfId="65" totalsRowDxfId="64"/>
    <tableColumn id="4" xr3:uid="{00000000-0010-0000-0A00-000004000000}" name="Werkzaamheid" dataDxfId="63" totalsRowDxfId="62">
      <calculatedColumnFormula>IF('Extra werkzaamheden'!$C15&gt;0,VLOOKUP('Extra werkzaamheden'!$C15,$A$8:$B$11,2,0),"")</calculatedColumnFormula>
    </tableColumn>
    <tableColumn id="5" xr3:uid="{00000000-0010-0000-0A00-000005000000}" name="Eenheid" dataDxfId="61" totalsRowDxfId="60"/>
    <tableColumn id="6" xr3:uid="{00000000-0010-0000-0A00-000006000000}" name="Aantal per uitvoering" dataDxfId="59" totalsRowDxfId="58"/>
    <tableColumn id="7" xr3:uid="{00000000-0010-0000-0A00-000007000000}" name="Frequentie (uitv. per jaar)" dataDxfId="57" totalsRowDxfId="56"/>
    <tableColumn id="8" xr3:uid="{00000000-0010-0000-0A00-000008000000}" name="Kosten/jaar excl. BTW" totalsRowFunction="sum" dataDxfId="55" totalsRowDxfId="54">
      <calculatedColumnFormula>IF(G15&gt;0,VLOOKUP(OverzichtExtra[[#This Row],[Code Taak]],InvulExtra[],5,2)*F15*G15,0)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D92"/>
  <sheetViews>
    <sheetView showGridLines="0" tabSelected="1" view="pageBreakPreview" zoomScale="85" zoomScaleNormal="100" zoomScaleSheetLayoutView="85" workbookViewId="0">
      <selection activeCell="B6" sqref="B6"/>
    </sheetView>
  </sheetViews>
  <sheetFormatPr defaultColWidth="9" defaultRowHeight="15" customHeight="1"/>
  <cols>
    <col min="1" max="1" width="29.5703125" style="270" customWidth="1"/>
    <col min="2" max="2" width="33.28515625" style="270" customWidth="1"/>
    <col min="3" max="3" width="45.42578125" style="270" bestFit="1" customWidth="1"/>
    <col min="4" max="4" width="54" style="270" customWidth="1"/>
    <col min="5" max="16384" width="9" style="264"/>
  </cols>
  <sheetData>
    <row r="1" spans="1:4" ht="12.75">
      <c r="A1" s="229" t="s">
        <v>580</v>
      </c>
      <c r="B1" s="229"/>
      <c r="C1" s="229"/>
      <c r="D1" s="229"/>
    </row>
    <row r="2" spans="1:4" ht="12.75">
      <c r="A2" s="229" t="s">
        <v>581</v>
      </c>
      <c r="B2" s="229" t="s">
        <v>582</v>
      </c>
      <c r="C2" s="229" t="s">
        <v>583</v>
      </c>
      <c r="D2" s="229" t="s">
        <v>584</v>
      </c>
    </row>
    <row r="3" spans="1:4" ht="12.75">
      <c r="A3" s="229"/>
      <c r="B3" s="229"/>
      <c r="C3" s="229"/>
      <c r="D3" s="229" t="s">
        <v>585</v>
      </c>
    </row>
    <row r="4" spans="1:4" ht="12.75">
      <c r="A4" s="229" t="s">
        <v>586</v>
      </c>
      <c r="B4" s="229"/>
      <c r="C4" s="229"/>
      <c r="D4" s="229"/>
    </row>
    <row r="5" spans="1:4" ht="25.5">
      <c r="A5" s="265" t="s">
        <v>587</v>
      </c>
      <c r="B5" s="265"/>
      <c r="C5" s="266" t="s">
        <v>588</v>
      </c>
      <c r="D5" s="266"/>
    </row>
    <row r="6" spans="1:4" ht="25.5">
      <c r="A6" s="265" t="s">
        <v>717</v>
      </c>
      <c r="B6" s="265" t="s">
        <v>599</v>
      </c>
      <c r="C6" s="266" t="s">
        <v>591</v>
      </c>
      <c r="D6" s="266" t="s">
        <v>718</v>
      </c>
    </row>
    <row r="7" spans="1:4" ht="25.5">
      <c r="A7" s="265" t="s">
        <v>589</v>
      </c>
      <c r="B7" s="265" t="s">
        <v>590</v>
      </c>
      <c r="C7" s="266" t="s">
        <v>591</v>
      </c>
      <c r="D7" s="266" t="s">
        <v>592</v>
      </c>
    </row>
    <row r="8" spans="1:4" ht="12.75">
      <c r="A8" s="265" t="s">
        <v>593</v>
      </c>
      <c r="B8" s="265" t="s">
        <v>590</v>
      </c>
      <c r="C8" s="266" t="s">
        <v>591</v>
      </c>
      <c r="D8" s="266" t="s">
        <v>594</v>
      </c>
    </row>
    <row r="9" spans="1:4" ht="25.5">
      <c r="A9" s="265" t="s">
        <v>595</v>
      </c>
      <c r="B9" s="265" t="s">
        <v>596</v>
      </c>
      <c r="C9" s="266" t="s">
        <v>597</v>
      </c>
      <c r="D9" s="266" t="s">
        <v>598</v>
      </c>
    </row>
    <row r="10" spans="1:4" ht="25.5">
      <c r="A10" s="265" t="s">
        <v>595</v>
      </c>
      <c r="B10" s="265" t="s">
        <v>599</v>
      </c>
      <c r="C10" s="266" t="s">
        <v>600</v>
      </c>
      <c r="D10" s="266" t="s">
        <v>598</v>
      </c>
    </row>
    <row r="11" spans="1:4" ht="12.75">
      <c r="A11" s="265" t="s">
        <v>601</v>
      </c>
      <c r="B11" s="265" t="s">
        <v>599</v>
      </c>
      <c r="C11" s="266" t="s">
        <v>602</v>
      </c>
      <c r="D11" s="266"/>
    </row>
    <row r="12" spans="1:4" ht="30" customHeight="1">
      <c r="A12" s="265" t="s">
        <v>603</v>
      </c>
      <c r="B12" s="265" t="s">
        <v>590</v>
      </c>
      <c r="C12" s="266" t="s">
        <v>591</v>
      </c>
      <c r="D12" s="266" t="s">
        <v>604</v>
      </c>
    </row>
    <row r="13" spans="1:4" ht="12.75">
      <c r="A13" s="265" t="s">
        <v>605</v>
      </c>
      <c r="B13" s="265" t="s">
        <v>590</v>
      </c>
      <c r="C13" s="266" t="s">
        <v>591</v>
      </c>
      <c r="D13" s="265" t="s">
        <v>606</v>
      </c>
    </row>
    <row r="14" spans="1:4" ht="25.5">
      <c r="A14" s="267" t="s">
        <v>607</v>
      </c>
      <c r="B14" s="267" t="s">
        <v>590</v>
      </c>
      <c r="C14" s="268" t="s">
        <v>591</v>
      </c>
      <c r="D14" s="268" t="s">
        <v>608</v>
      </c>
    </row>
    <row r="15" spans="1:4" ht="25.5">
      <c r="A15" s="265" t="s">
        <v>609</v>
      </c>
      <c r="B15" s="265" t="s">
        <v>590</v>
      </c>
      <c r="C15" s="266" t="s">
        <v>591</v>
      </c>
      <c r="D15" s="266" t="s">
        <v>610</v>
      </c>
    </row>
    <row r="16" spans="1:4" ht="25.5">
      <c r="A16" s="265" t="s">
        <v>611</v>
      </c>
      <c r="B16" s="265" t="s">
        <v>599</v>
      </c>
      <c r="C16" s="266" t="s">
        <v>591</v>
      </c>
      <c r="D16" s="266" t="s">
        <v>612</v>
      </c>
    </row>
    <row r="17" spans="1:4" ht="25.5">
      <c r="A17" s="265" t="s">
        <v>613</v>
      </c>
      <c r="B17" s="265" t="s">
        <v>590</v>
      </c>
      <c r="C17" s="266" t="s">
        <v>591</v>
      </c>
      <c r="D17" s="269" t="s">
        <v>614</v>
      </c>
    </row>
    <row r="18" spans="1:4" ht="25.5">
      <c r="A18" s="265" t="s">
        <v>615</v>
      </c>
      <c r="B18" s="265" t="s">
        <v>590</v>
      </c>
      <c r="C18" s="266" t="s">
        <v>591</v>
      </c>
      <c r="D18" s="269" t="s">
        <v>616</v>
      </c>
    </row>
    <row r="19" spans="1:4" ht="25.5">
      <c r="A19" s="265" t="s">
        <v>617</v>
      </c>
      <c r="B19" s="265" t="s">
        <v>599</v>
      </c>
      <c r="C19" s="266" t="s">
        <v>591</v>
      </c>
      <c r="D19" s="269" t="s">
        <v>610</v>
      </c>
    </row>
    <row r="20" spans="1:4" ht="25.5">
      <c r="A20" s="265" t="s">
        <v>618</v>
      </c>
      <c r="B20" s="265" t="s">
        <v>590</v>
      </c>
      <c r="C20" s="266" t="s">
        <v>591</v>
      </c>
      <c r="D20" s="269" t="s">
        <v>616</v>
      </c>
    </row>
    <row r="21" spans="1:4" ht="12.75">
      <c r="A21" s="265" t="s">
        <v>619</v>
      </c>
      <c r="B21" s="265" t="s">
        <v>620</v>
      </c>
      <c r="C21" s="266" t="s">
        <v>621</v>
      </c>
      <c r="D21" s="269"/>
    </row>
    <row r="22" spans="1:4" ht="25.5">
      <c r="A22" s="265" t="s">
        <v>619</v>
      </c>
      <c r="B22" s="265" t="s">
        <v>599</v>
      </c>
      <c r="C22" s="266" t="s">
        <v>591</v>
      </c>
      <c r="D22" s="269" t="s">
        <v>614</v>
      </c>
    </row>
    <row r="23" spans="1:4" ht="25.5">
      <c r="A23" s="265" t="s">
        <v>622</v>
      </c>
      <c r="B23" s="265" t="s">
        <v>590</v>
      </c>
      <c r="C23" s="266" t="s">
        <v>591</v>
      </c>
      <c r="D23" s="269" t="s">
        <v>623</v>
      </c>
    </row>
    <row r="24" spans="1:4" ht="25.5">
      <c r="A24" s="265" t="s">
        <v>624</v>
      </c>
      <c r="B24" s="265" t="s">
        <v>590</v>
      </c>
      <c r="C24" s="266" t="s">
        <v>591</v>
      </c>
      <c r="D24" s="269" t="s">
        <v>625</v>
      </c>
    </row>
    <row r="25" spans="1:4" ht="38.25">
      <c r="A25" s="265" t="s">
        <v>626</v>
      </c>
      <c r="B25" s="265" t="s">
        <v>590</v>
      </c>
      <c r="C25" s="266" t="s">
        <v>591</v>
      </c>
      <c r="D25" s="269" t="s">
        <v>627</v>
      </c>
    </row>
    <row r="26" spans="1:4" ht="25.5">
      <c r="A26" s="265" t="s">
        <v>628</v>
      </c>
      <c r="B26" s="265" t="s">
        <v>590</v>
      </c>
      <c r="C26" s="266" t="s">
        <v>591</v>
      </c>
      <c r="D26" s="269" t="s">
        <v>623</v>
      </c>
    </row>
    <row r="27" spans="1:4" ht="25.5">
      <c r="A27" s="265" t="s">
        <v>629</v>
      </c>
      <c r="B27" s="265" t="s">
        <v>599</v>
      </c>
      <c r="C27" s="266" t="s">
        <v>591</v>
      </c>
      <c r="D27" s="269" t="s">
        <v>630</v>
      </c>
    </row>
    <row r="28" spans="1:4" ht="25.5">
      <c r="A28" s="265" t="s">
        <v>631</v>
      </c>
      <c r="B28" s="265" t="s">
        <v>599</v>
      </c>
      <c r="C28" s="266" t="s">
        <v>591</v>
      </c>
      <c r="D28" s="269" t="s">
        <v>614</v>
      </c>
    </row>
    <row r="29" spans="1:4" ht="25.5">
      <c r="A29" s="265" t="s">
        <v>632</v>
      </c>
      <c r="B29" s="265" t="s">
        <v>590</v>
      </c>
      <c r="C29" s="266" t="s">
        <v>591</v>
      </c>
      <c r="D29" s="269" t="s">
        <v>614</v>
      </c>
    </row>
    <row r="30" spans="1:4" ht="25.5">
      <c r="A30" s="265" t="s">
        <v>633</v>
      </c>
      <c r="B30" s="265" t="s">
        <v>599</v>
      </c>
      <c r="C30" s="266" t="s">
        <v>591</v>
      </c>
      <c r="D30" s="269" t="s">
        <v>614</v>
      </c>
    </row>
    <row r="31" spans="1:4" ht="12.75">
      <c r="A31" s="229" t="s">
        <v>581</v>
      </c>
      <c r="B31" s="229" t="s">
        <v>582</v>
      </c>
      <c r="C31" s="229" t="s">
        <v>583</v>
      </c>
      <c r="D31" s="229" t="s">
        <v>584</v>
      </c>
    </row>
    <row r="32" spans="1:4" ht="12.75">
      <c r="A32" s="229"/>
      <c r="B32" s="229"/>
      <c r="C32" s="229"/>
      <c r="D32" s="229" t="s">
        <v>585</v>
      </c>
    </row>
    <row r="33" spans="1:4" ht="12.75">
      <c r="A33" s="229" t="s">
        <v>634</v>
      </c>
      <c r="B33" s="229"/>
      <c r="C33" s="229"/>
      <c r="D33" s="229"/>
    </row>
    <row r="34" spans="1:4" ht="25.5">
      <c r="A34" s="265" t="s">
        <v>587</v>
      </c>
      <c r="B34" s="265"/>
      <c r="C34" s="266" t="s">
        <v>635</v>
      </c>
      <c r="D34" s="269"/>
    </row>
    <row r="35" spans="1:4" ht="25.5">
      <c r="A35" s="265" t="s">
        <v>636</v>
      </c>
      <c r="B35" s="265" t="s">
        <v>599</v>
      </c>
      <c r="C35" s="266" t="s">
        <v>591</v>
      </c>
      <c r="D35" s="269" t="s">
        <v>637</v>
      </c>
    </row>
    <row r="36" spans="1:4" ht="25.5">
      <c r="A36" s="265" t="s">
        <v>638</v>
      </c>
      <c r="B36" s="265" t="s">
        <v>599</v>
      </c>
      <c r="C36" s="266" t="s">
        <v>591</v>
      </c>
      <c r="D36" s="269" t="s">
        <v>639</v>
      </c>
    </row>
    <row r="37" spans="1:4" ht="38.25">
      <c r="A37" s="265" t="s">
        <v>640</v>
      </c>
      <c r="B37" s="265" t="s">
        <v>590</v>
      </c>
      <c r="C37" s="266" t="s">
        <v>591</v>
      </c>
      <c r="D37" s="269" t="s">
        <v>641</v>
      </c>
    </row>
    <row r="38" spans="1:4" ht="25.5">
      <c r="A38" s="265" t="s">
        <v>611</v>
      </c>
      <c r="B38" s="265" t="s">
        <v>599</v>
      </c>
      <c r="C38" s="266" t="s">
        <v>591</v>
      </c>
      <c r="D38" s="266" t="s">
        <v>612</v>
      </c>
    </row>
    <row r="39" spans="1:4" ht="25.5">
      <c r="A39" s="265" t="s">
        <v>374</v>
      </c>
      <c r="B39" s="265" t="s">
        <v>599</v>
      </c>
      <c r="C39" s="266" t="s">
        <v>591</v>
      </c>
      <c r="D39" s="266" t="s">
        <v>637</v>
      </c>
    </row>
    <row r="40" spans="1:4" ht="25.5">
      <c r="A40" s="265" t="s">
        <v>642</v>
      </c>
      <c r="B40" s="265" t="s">
        <v>599</v>
      </c>
      <c r="C40" s="266" t="s">
        <v>591</v>
      </c>
      <c r="D40" s="266" t="s">
        <v>643</v>
      </c>
    </row>
    <row r="41" spans="1:4" ht="25.5">
      <c r="A41" s="265" t="s">
        <v>644</v>
      </c>
      <c r="B41" s="265" t="s">
        <v>599</v>
      </c>
      <c r="C41" s="266" t="s">
        <v>591</v>
      </c>
      <c r="D41" s="266" t="s">
        <v>645</v>
      </c>
    </row>
    <row r="42" spans="1:4" ht="12.75">
      <c r="A42" s="265" t="s">
        <v>646</v>
      </c>
      <c r="B42" s="265" t="s">
        <v>590</v>
      </c>
      <c r="C42" s="266" t="s">
        <v>591</v>
      </c>
      <c r="D42" s="269" t="s">
        <v>606</v>
      </c>
    </row>
    <row r="43" spans="1:4" ht="25.5">
      <c r="A43" s="265" t="s">
        <v>647</v>
      </c>
      <c r="B43" s="265" t="s">
        <v>590</v>
      </c>
      <c r="C43" s="266" t="s">
        <v>591</v>
      </c>
      <c r="D43" s="269" t="s">
        <v>614</v>
      </c>
    </row>
    <row r="44" spans="1:4" ht="25.5">
      <c r="A44" s="265" t="s">
        <v>648</v>
      </c>
      <c r="B44" s="265" t="s">
        <v>599</v>
      </c>
      <c r="C44" s="266" t="s">
        <v>591</v>
      </c>
      <c r="D44" s="269" t="s">
        <v>649</v>
      </c>
    </row>
    <row r="45" spans="1:4" ht="25.5">
      <c r="A45" s="265" t="s">
        <v>650</v>
      </c>
      <c r="B45" s="265" t="s">
        <v>599</v>
      </c>
      <c r="C45" s="266" t="s">
        <v>591</v>
      </c>
      <c r="D45" s="269" t="s">
        <v>651</v>
      </c>
    </row>
    <row r="46" spans="1:4" ht="25.5">
      <c r="A46" s="265" t="s">
        <v>652</v>
      </c>
      <c r="B46" s="265" t="s">
        <v>599</v>
      </c>
      <c r="C46" s="266" t="s">
        <v>591</v>
      </c>
      <c r="D46" s="266" t="s">
        <v>653</v>
      </c>
    </row>
    <row r="47" spans="1:4" ht="25.5">
      <c r="A47" s="265" t="s">
        <v>654</v>
      </c>
      <c r="B47" s="265" t="s">
        <v>599</v>
      </c>
      <c r="C47" s="266" t="s">
        <v>591</v>
      </c>
      <c r="D47" s="269" t="s">
        <v>614</v>
      </c>
    </row>
    <row r="48" spans="1:4" ht="12.75">
      <c r="A48" s="265" t="s">
        <v>655</v>
      </c>
      <c r="B48" s="265" t="s">
        <v>590</v>
      </c>
      <c r="C48" s="266" t="s">
        <v>591</v>
      </c>
      <c r="D48" s="269" t="s">
        <v>606</v>
      </c>
    </row>
    <row r="49" spans="1:4" ht="25.5">
      <c r="A49" s="265" t="s">
        <v>656</v>
      </c>
      <c r="B49" s="265" t="s">
        <v>590</v>
      </c>
      <c r="C49" s="266" t="s">
        <v>591</v>
      </c>
      <c r="D49" s="269" t="s">
        <v>612</v>
      </c>
    </row>
    <row r="50" spans="1:4" ht="25.5">
      <c r="A50" s="265" t="s">
        <v>657</v>
      </c>
      <c r="B50" s="265" t="s">
        <v>599</v>
      </c>
      <c r="C50" s="266" t="s">
        <v>658</v>
      </c>
      <c r="D50" s="269" t="s">
        <v>659</v>
      </c>
    </row>
    <row r="51" spans="1:4" ht="38.25">
      <c r="A51" s="265" t="s">
        <v>660</v>
      </c>
      <c r="B51" s="265" t="s">
        <v>599</v>
      </c>
      <c r="C51" s="266" t="s">
        <v>591</v>
      </c>
      <c r="D51" s="269" t="s">
        <v>661</v>
      </c>
    </row>
    <row r="52" spans="1:4" ht="12.75">
      <c r="A52" s="229" t="s">
        <v>581</v>
      </c>
      <c r="B52" s="229" t="s">
        <v>582</v>
      </c>
      <c r="C52" s="229" t="s">
        <v>583</v>
      </c>
      <c r="D52" s="229" t="s">
        <v>584</v>
      </c>
    </row>
    <row r="53" spans="1:4" ht="12.75">
      <c r="A53" s="229"/>
      <c r="B53" s="229"/>
      <c r="C53" s="229"/>
      <c r="D53" s="229" t="s">
        <v>585</v>
      </c>
    </row>
    <row r="54" spans="1:4" ht="12.75">
      <c r="A54" s="229" t="s">
        <v>662</v>
      </c>
      <c r="B54" s="229"/>
      <c r="C54" s="229"/>
      <c r="D54" s="229"/>
    </row>
    <row r="55" spans="1:4" ht="38.25">
      <c r="A55" s="265" t="s">
        <v>587</v>
      </c>
      <c r="B55" s="265"/>
      <c r="C55" s="266" t="s">
        <v>663</v>
      </c>
      <c r="D55" s="266"/>
    </row>
    <row r="56" spans="1:4" ht="25.5">
      <c r="A56" s="265" t="s">
        <v>664</v>
      </c>
      <c r="B56" s="265" t="s">
        <v>599</v>
      </c>
      <c r="C56" s="266" t="s">
        <v>665</v>
      </c>
      <c r="D56" s="269" t="s">
        <v>666</v>
      </c>
    </row>
    <row r="57" spans="1:4" ht="25.5">
      <c r="A57" s="265" t="s">
        <v>667</v>
      </c>
      <c r="B57" s="265" t="s">
        <v>599</v>
      </c>
      <c r="C57" s="266" t="s">
        <v>591</v>
      </c>
      <c r="D57" s="269" t="s">
        <v>668</v>
      </c>
    </row>
    <row r="58" spans="1:4" ht="12.75">
      <c r="A58" s="265" t="s">
        <v>669</v>
      </c>
      <c r="B58" s="265" t="s">
        <v>599</v>
      </c>
      <c r="C58" s="266" t="s">
        <v>591</v>
      </c>
      <c r="D58" s="269" t="s">
        <v>670</v>
      </c>
    </row>
    <row r="59" spans="1:4" ht="12.75">
      <c r="A59" s="265" t="s">
        <v>669</v>
      </c>
      <c r="B59" s="265" t="s">
        <v>599</v>
      </c>
      <c r="C59" s="266" t="s">
        <v>671</v>
      </c>
      <c r="D59" s="269"/>
    </row>
    <row r="60" spans="1:4" ht="12.75">
      <c r="A60" s="265" t="s">
        <v>672</v>
      </c>
      <c r="B60" s="265" t="s">
        <v>599</v>
      </c>
      <c r="C60" s="266" t="s">
        <v>591</v>
      </c>
      <c r="D60" s="269" t="s">
        <v>670</v>
      </c>
    </row>
    <row r="61" spans="1:4" ht="25.5">
      <c r="A61" s="265" t="s">
        <v>673</v>
      </c>
      <c r="B61" s="265" t="s">
        <v>599</v>
      </c>
      <c r="C61" s="266" t="s">
        <v>591</v>
      </c>
      <c r="D61" s="269" t="s">
        <v>614</v>
      </c>
    </row>
    <row r="62" spans="1:4" ht="12.75">
      <c r="A62" s="265" t="s">
        <v>674</v>
      </c>
      <c r="B62" s="265" t="s">
        <v>599</v>
      </c>
      <c r="C62" s="266" t="s">
        <v>591</v>
      </c>
      <c r="D62" s="269" t="s">
        <v>670</v>
      </c>
    </row>
    <row r="63" spans="1:4" ht="12.75">
      <c r="A63" s="265" t="s">
        <v>674</v>
      </c>
      <c r="B63" s="265" t="s">
        <v>599</v>
      </c>
      <c r="C63" s="266" t="s">
        <v>671</v>
      </c>
      <c r="D63" s="269"/>
    </row>
    <row r="64" spans="1:4" ht="25.5">
      <c r="A64" s="265" t="s">
        <v>675</v>
      </c>
      <c r="B64" s="265" t="s">
        <v>599</v>
      </c>
      <c r="C64" s="266" t="s">
        <v>591</v>
      </c>
      <c r="D64" s="269" t="s">
        <v>676</v>
      </c>
    </row>
    <row r="65" spans="1:4" ht="12.75">
      <c r="A65" s="265" t="s">
        <v>675</v>
      </c>
      <c r="B65" s="265" t="s">
        <v>599</v>
      </c>
      <c r="C65" s="266" t="s">
        <v>671</v>
      </c>
      <c r="D65" s="269"/>
    </row>
    <row r="66" spans="1:4" ht="25.5">
      <c r="A66" s="265" t="s">
        <v>677</v>
      </c>
      <c r="B66" s="265" t="s">
        <v>599</v>
      </c>
      <c r="C66" s="266" t="s">
        <v>591</v>
      </c>
      <c r="D66" s="269" t="s">
        <v>678</v>
      </c>
    </row>
    <row r="67" spans="1:4" ht="25.5">
      <c r="A67" s="265" t="s">
        <v>677</v>
      </c>
      <c r="B67" s="265" t="s">
        <v>599</v>
      </c>
      <c r="C67" s="266" t="s">
        <v>671</v>
      </c>
      <c r="D67" s="269"/>
    </row>
    <row r="68" spans="1:4" ht="25.5">
      <c r="A68" s="265" t="s">
        <v>679</v>
      </c>
      <c r="B68" s="265" t="s">
        <v>599</v>
      </c>
      <c r="C68" s="266" t="s">
        <v>591</v>
      </c>
      <c r="D68" s="269" t="s">
        <v>680</v>
      </c>
    </row>
    <row r="69" spans="1:4" ht="25.5">
      <c r="A69" s="265" t="s">
        <v>681</v>
      </c>
      <c r="B69" s="265" t="s">
        <v>599</v>
      </c>
      <c r="C69" s="266" t="s">
        <v>591</v>
      </c>
      <c r="D69" s="269" t="s">
        <v>625</v>
      </c>
    </row>
    <row r="70" spans="1:4" ht="12.75">
      <c r="A70" s="265" t="s">
        <v>681</v>
      </c>
      <c r="B70" s="265" t="s">
        <v>599</v>
      </c>
      <c r="C70" s="266" t="s">
        <v>671</v>
      </c>
      <c r="D70" s="269"/>
    </row>
    <row r="71" spans="1:4" ht="25.5">
      <c r="A71" s="265" t="s">
        <v>60</v>
      </c>
      <c r="B71" s="265" t="s">
        <v>599</v>
      </c>
      <c r="C71" s="266" t="s">
        <v>682</v>
      </c>
      <c r="D71" s="269" t="s">
        <v>639</v>
      </c>
    </row>
    <row r="72" spans="1:4" ht="12.75">
      <c r="A72" s="265" t="s">
        <v>60</v>
      </c>
      <c r="B72" s="265" t="s">
        <v>599</v>
      </c>
      <c r="C72" s="266" t="s">
        <v>671</v>
      </c>
      <c r="D72" s="269"/>
    </row>
    <row r="73" spans="1:4" ht="12.75">
      <c r="A73" s="229" t="s">
        <v>581</v>
      </c>
      <c r="B73" s="229" t="s">
        <v>582</v>
      </c>
      <c r="C73" s="229" t="s">
        <v>583</v>
      </c>
      <c r="D73" s="229" t="s">
        <v>584</v>
      </c>
    </row>
    <row r="74" spans="1:4" ht="12.75">
      <c r="A74" s="229"/>
      <c r="B74" s="229"/>
      <c r="C74" s="229"/>
      <c r="D74" s="229" t="s">
        <v>585</v>
      </c>
    </row>
    <row r="75" spans="1:4" ht="12.75">
      <c r="A75" s="229" t="s">
        <v>683</v>
      </c>
      <c r="B75" s="229"/>
      <c r="C75" s="229"/>
      <c r="D75" s="229"/>
    </row>
    <row r="76" spans="1:4" ht="25.5">
      <c r="A76" s="265" t="s">
        <v>587</v>
      </c>
      <c r="B76" s="265"/>
      <c r="C76" s="266" t="s">
        <v>684</v>
      </c>
      <c r="D76" s="266"/>
    </row>
    <row r="77" spans="1:4" ht="12.75">
      <c r="A77" s="229" t="s">
        <v>685</v>
      </c>
      <c r="B77" s="229"/>
      <c r="C77" s="229"/>
      <c r="D77" s="229"/>
    </row>
    <row r="78" spans="1:4" ht="25.5">
      <c r="A78" s="265" t="s">
        <v>686</v>
      </c>
      <c r="B78" s="265" t="s">
        <v>599</v>
      </c>
      <c r="C78" s="266" t="s">
        <v>687</v>
      </c>
      <c r="D78" s="269" t="s">
        <v>659</v>
      </c>
    </row>
    <row r="79" spans="1:4" ht="25.5">
      <c r="A79" s="265" t="s">
        <v>688</v>
      </c>
      <c r="B79" s="265" t="s">
        <v>599</v>
      </c>
      <c r="C79" s="266" t="s">
        <v>687</v>
      </c>
      <c r="D79" s="269" t="s">
        <v>659</v>
      </c>
    </row>
    <row r="80" spans="1:4" ht="25.5">
      <c r="A80" s="265" t="s">
        <v>689</v>
      </c>
      <c r="B80" s="265" t="s">
        <v>599</v>
      </c>
      <c r="C80" s="266" t="s">
        <v>687</v>
      </c>
      <c r="D80" s="269" t="s">
        <v>690</v>
      </c>
    </row>
    <row r="81" spans="1:4" ht="25.5">
      <c r="A81" s="265" t="s">
        <v>691</v>
      </c>
      <c r="B81" s="265" t="s">
        <v>599</v>
      </c>
      <c r="C81" s="266" t="s">
        <v>687</v>
      </c>
      <c r="D81" s="269" t="s">
        <v>692</v>
      </c>
    </row>
    <row r="82" spans="1:4" ht="25.5">
      <c r="A82" s="265" t="s">
        <v>693</v>
      </c>
      <c r="B82" s="265" t="s">
        <v>599</v>
      </c>
      <c r="C82" s="266" t="s">
        <v>687</v>
      </c>
      <c r="D82" s="269" t="s">
        <v>692</v>
      </c>
    </row>
    <row r="83" spans="1:4" ht="12.75">
      <c r="A83" s="229" t="s">
        <v>694</v>
      </c>
      <c r="B83" s="229"/>
      <c r="C83" s="229"/>
      <c r="D83" s="229"/>
    </row>
    <row r="84" spans="1:4" ht="25.5">
      <c r="A84" s="265" t="s">
        <v>686</v>
      </c>
      <c r="B84" s="265" t="s">
        <v>599</v>
      </c>
      <c r="C84" s="266" t="s">
        <v>687</v>
      </c>
      <c r="D84" s="269" t="s">
        <v>659</v>
      </c>
    </row>
    <row r="85" spans="1:4" ht="25.5">
      <c r="A85" s="265" t="s">
        <v>688</v>
      </c>
      <c r="B85" s="265" t="s">
        <v>599</v>
      </c>
      <c r="C85" s="266" t="s">
        <v>687</v>
      </c>
      <c r="D85" s="269" t="s">
        <v>659</v>
      </c>
    </row>
    <row r="86" spans="1:4" ht="25.5">
      <c r="A86" s="265" t="s">
        <v>689</v>
      </c>
      <c r="B86" s="265" t="s">
        <v>599</v>
      </c>
      <c r="C86" s="266" t="s">
        <v>687</v>
      </c>
      <c r="D86" s="269" t="s">
        <v>690</v>
      </c>
    </row>
    <row r="87" spans="1:4" ht="25.5">
      <c r="A87" s="265" t="s">
        <v>691</v>
      </c>
      <c r="B87" s="265" t="s">
        <v>599</v>
      </c>
      <c r="C87" s="266" t="s">
        <v>687</v>
      </c>
      <c r="D87" s="269" t="s">
        <v>692</v>
      </c>
    </row>
    <row r="88" spans="1:4" ht="25.5">
      <c r="A88" s="265" t="s">
        <v>693</v>
      </c>
      <c r="B88" s="265" t="s">
        <v>599</v>
      </c>
      <c r="C88" s="266" t="s">
        <v>687</v>
      </c>
      <c r="D88" s="269" t="s">
        <v>692</v>
      </c>
    </row>
    <row r="89" spans="1:4" ht="12.75">
      <c r="A89" s="229" t="s">
        <v>39</v>
      </c>
      <c r="B89" s="229"/>
      <c r="C89" s="229"/>
      <c r="D89" s="229"/>
    </row>
    <row r="90" spans="1:4" ht="25.5">
      <c r="A90" s="265" t="s">
        <v>686</v>
      </c>
      <c r="B90" s="265" t="s">
        <v>599</v>
      </c>
      <c r="C90" s="266" t="s">
        <v>695</v>
      </c>
      <c r="D90" s="269" t="s">
        <v>659</v>
      </c>
    </row>
    <row r="91" spans="1:4" ht="25.5">
      <c r="A91" s="265" t="s">
        <v>688</v>
      </c>
      <c r="B91" s="265" t="s">
        <v>599</v>
      </c>
      <c r="C91" s="266" t="s">
        <v>695</v>
      </c>
      <c r="D91" s="269" t="s">
        <v>659</v>
      </c>
    </row>
    <row r="92" spans="1:4" ht="25.5">
      <c r="A92" s="265" t="s">
        <v>689</v>
      </c>
      <c r="B92" s="265" t="s">
        <v>599</v>
      </c>
      <c r="C92" s="266" t="s">
        <v>695</v>
      </c>
      <c r="D92" s="269" t="s">
        <v>690</v>
      </c>
    </row>
  </sheetData>
  <dataConsolidate/>
  <phoneticPr fontId="17" type="noConversion"/>
  <pageMargins left="0.2" right="0.21" top="0.57999999999999996" bottom="0.59" header="0.5" footer="0.5"/>
  <pageSetup paperSize="9" scale="62" fitToHeight="0" orientation="portrait" r:id="rId1"/>
  <headerFooter alignWithMargins="0"/>
  <rowBreaks count="2" manualBreakCount="2">
    <brk id="51" max="16383" man="1"/>
    <brk id="7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1">
    <tabColor theme="0" tint="-0.14999847407452621"/>
    <pageSetUpPr fitToPage="1"/>
  </sheetPr>
  <dimension ref="A1:H21"/>
  <sheetViews>
    <sheetView showGridLines="0" zoomScaleNormal="100" zoomScaleSheetLayoutView="100" workbookViewId="0">
      <selection activeCell="E9" sqref="E9"/>
    </sheetView>
  </sheetViews>
  <sheetFormatPr defaultColWidth="9.140625" defaultRowHeight="18.75" customHeight="1"/>
  <cols>
    <col min="1" max="1" width="13.7109375" style="3" customWidth="1"/>
    <col min="2" max="2" width="40.5703125" style="158" customWidth="1"/>
    <col min="3" max="7" width="23.28515625" style="3" customWidth="1"/>
    <col min="8" max="8" width="18.28515625" style="3" bestFit="1" customWidth="1"/>
    <col min="9" max="10" width="15.85546875" style="3" customWidth="1"/>
    <col min="11" max="16384" width="9.140625" style="3"/>
  </cols>
  <sheetData>
    <row r="1" spans="1:8" s="7" customFormat="1" ht="25.5" customHeight="1">
      <c r="A1" s="314" t="s">
        <v>226</v>
      </c>
      <c r="B1" s="314"/>
      <c r="C1" s="314"/>
      <c r="D1" s="314"/>
      <c r="E1" s="314"/>
      <c r="F1" s="314"/>
      <c r="G1" s="314"/>
      <c r="H1" s="314"/>
    </row>
    <row r="2" spans="1:8" s="7" customFormat="1" ht="15" customHeight="1">
      <c r="A2" s="324" t="s">
        <v>239</v>
      </c>
      <c r="B2" s="303"/>
      <c r="C2" s="303"/>
      <c r="D2" s="303"/>
      <c r="E2" s="303"/>
      <c r="F2" s="303"/>
      <c r="G2" s="303"/>
      <c r="H2" s="303"/>
    </row>
    <row r="3" spans="1:8" s="4" customFormat="1" ht="15" customHeight="1">
      <c r="B3" s="33"/>
    </row>
    <row r="4" spans="1:8" ht="18.75" customHeight="1">
      <c r="A4" s="158"/>
      <c r="B4" s="3"/>
    </row>
    <row r="5" spans="1:8" ht="26.25" customHeight="1">
      <c r="A5" s="88" t="s">
        <v>236</v>
      </c>
      <c r="B5" s="3"/>
    </row>
    <row r="6" spans="1:8" s="48" customFormat="1" ht="25.5" customHeight="1">
      <c r="A6" s="153" t="s">
        <v>221</v>
      </c>
      <c r="B6" s="154" t="s">
        <v>152</v>
      </c>
      <c r="C6" s="153" t="s">
        <v>171</v>
      </c>
      <c r="D6" s="155" t="s">
        <v>134</v>
      </c>
      <c r="E6" s="155" t="s">
        <v>172</v>
      </c>
      <c r="F6" s="153" t="s">
        <v>133</v>
      </c>
      <c r="G6" s="156" t="s">
        <v>173</v>
      </c>
      <c r="H6" s="49" t="s">
        <v>174</v>
      </c>
    </row>
    <row r="7" spans="1:8" ht="18.75" customHeight="1">
      <c r="A7" s="157">
        <v>1</v>
      </c>
      <c r="B7" s="42" t="str">
        <f>VLOOKUP(Samenvattingschoonmaak[[#This Row],[Code Locatie]],Locaties[],2,0)</f>
        <v>Amstelveen College</v>
      </c>
      <c r="C7" s="44">
        <f>SUMIF('Ruimtestaat'!$A:$A,Totalisatie!$A7,'Ruimtestaat'!$N:$N)</f>
        <v>10284.299999999999</v>
      </c>
      <c r="D7" s="44">
        <f>SUMIF('Ruimtestaat'!$A:$A,Totalisatie!$A7,'Ruimtestaat'!$AE:$AE)</f>
        <v>1551781.6</v>
      </c>
      <c r="E7" s="45">
        <f>SUMIF('Ruimtestaat'!$A:$A,Totalisatie!$A7,'Ruimtestaat'!$AF:$AF)</f>
        <v>0</v>
      </c>
      <c r="F7" s="46" t="e">
        <f t="shared" ref="F7" si="0">D7/E7</f>
        <v>#DIV/0!</v>
      </c>
      <c r="G7" s="47">
        <f>SUMIF('Ruimtestaat'!$A:$A,Totalisatie!$A7,'Ruimtestaat'!$AG:$AG)</f>
        <v>0</v>
      </c>
      <c r="H7" s="152">
        <f t="shared" ref="H7" si="1">G7/C7</f>
        <v>0</v>
      </c>
    </row>
    <row r="8" spans="1:8" s="48" customFormat="1" ht="25.5" customHeight="1">
      <c r="A8" s="179"/>
      <c r="B8" s="180" t="s">
        <v>33</v>
      </c>
      <c r="C8" s="181">
        <f>SUBTOTAL(109,Samenvattingschoonmaak[Oppervlakte i/o])</f>
        <v>10284.299999999999</v>
      </c>
      <c r="D8" s="181">
        <f>SUBTOTAL(109,Samenvattingschoonmaak[Prest. (m2 /jaar)])</f>
        <v>1551781.6</v>
      </c>
      <c r="E8" s="182">
        <f>SUBTOTAL(109,Samenvattingschoonmaak[Uren / jaar])</f>
        <v>0</v>
      </c>
      <c r="F8" s="181" t="e">
        <f>Samenvattingschoonmaak[[#Totals],[Prest. (m2 /jaar)]]/Samenvattingschoonmaak[[#Totals],[Uren / jaar]]</f>
        <v>#DIV/0!</v>
      </c>
      <c r="G8" s="183">
        <f>SUBTOTAL(109,Samenvattingschoonmaak[Kosten / jaar])</f>
        <v>0</v>
      </c>
      <c r="H8" s="184">
        <f>Samenvattingschoonmaak[[#Totals],[Kosten / jaar]]/Samenvattingschoonmaak[[#Totals],[Oppervlakte i/o]]</f>
        <v>0</v>
      </c>
    </row>
    <row r="9" spans="1:8" ht="18.75" customHeight="1">
      <c r="A9" s="158"/>
      <c r="B9" s="3"/>
    </row>
    <row r="10" spans="1:8" ht="18.75" customHeight="1">
      <c r="A10" s="88" t="s">
        <v>177</v>
      </c>
      <c r="B10" s="43"/>
      <c r="C10" s="43"/>
      <c r="D10" s="43"/>
      <c r="E10" s="43"/>
      <c r="F10" s="43"/>
      <c r="G10" s="43"/>
      <c r="H10" s="43"/>
    </row>
    <row r="11" spans="1:8" ht="25.5" customHeight="1">
      <c r="A11" s="153" t="s">
        <v>221</v>
      </c>
      <c r="B11" s="154" t="s">
        <v>228</v>
      </c>
      <c r="C11" s="153" t="s">
        <v>179</v>
      </c>
      <c r="D11" s="156" t="s">
        <v>175</v>
      </c>
      <c r="E11" s="156" t="s">
        <v>176</v>
      </c>
      <c r="F11" s="156" t="s">
        <v>227</v>
      </c>
    </row>
    <row r="12" spans="1:8" ht="18.75" customHeight="1">
      <c r="A12" s="157">
        <v>1</v>
      </c>
      <c r="B12" s="42" t="str">
        <f>VLOOKUP(Totalisatie[[#This Row],[Code Locatie]],Locaties[],2,0)</f>
        <v>Amstelveen College</v>
      </c>
      <c r="C12" s="47">
        <f>SUMIF('Ruimtestaat'!A:A,Totalisatie[[#This Row],[Code Locatie]],'Ruimtestaat'!AG:AG)</f>
        <v>0</v>
      </c>
      <c r="D12" s="47">
        <f>SUMIF(Vloeronderhoud!$A$21:$A$25,Totalisatie[[#This Row],[Code Locatie]],Vloeronderhoud!$H$21:$H$25)</f>
        <v>0</v>
      </c>
      <c r="E12" s="47">
        <f>SUMIF(OverzichtExtra[Code Locatie],Totalisatie[[#This Row],[Code Locatie]],OverzichtExtra[Kosten/jaar excl. BTW])</f>
        <v>0</v>
      </c>
      <c r="F12" s="47">
        <f>SUM(Totalisatie[[#This Row],[Schoonmaakonderhoud
Kosten / jaar]:[Extra Werkzaamheden
Kosten / jaar]])</f>
        <v>0</v>
      </c>
      <c r="H12" s="214"/>
    </row>
    <row r="13" spans="1:8" ht="18.75" customHeight="1">
      <c r="A13" s="176"/>
      <c r="B13" s="177" t="s">
        <v>33</v>
      </c>
      <c r="C13" s="178">
        <f>SUBTOTAL(109,Totalisatie[Schoonmaakonderhoud
Kosten / jaar])</f>
        <v>0</v>
      </c>
      <c r="D13" s="178">
        <f>SUBTOTAL(109,Totalisatie[Vloeronderhoud
Kosten / jaar])</f>
        <v>0</v>
      </c>
      <c r="E13" s="178">
        <f>SUBTOTAL(109,Totalisatie[Extra Werkzaamheden
Kosten / jaar])</f>
        <v>0</v>
      </c>
      <c r="F13" s="178">
        <f>SUBTOTAL(109,Totalisatie[Totaalprijs
Kosten / jaar])</f>
        <v>0</v>
      </c>
    </row>
    <row r="14" spans="1:8" ht="18.75" customHeight="1">
      <c r="A14" s="158"/>
      <c r="B14" s="3"/>
      <c r="H14" s="43"/>
    </row>
    <row r="15" spans="1:8" ht="37.5" customHeight="1">
      <c r="A15" s="88" t="s">
        <v>229</v>
      </c>
      <c r="B15" s="3"/>
      <c r="H15" s="174"/>
    </row>
    <row r="16" spans="1:8" ht="26.25" customHeight="1">
      <c r="A16" s="343" t="s">
        <v>233</v>
      </c>
      <c r="B16" s="344"/>
      <c r="C16" s="345"/>
      <c r="D16" s="345"/>
      <c r="E16" s="345"/>
      <c r="F16" s="345"/>
      <c r="G16" s="346"/>
    </row>
    <row r="17" spans="1:7" ht="18.75" customHeight="1">
      <c r="A17" s="159" t="s">
        <v>138</v>
      </c>
      <c r="B17" s="334"/>
      <c r="C17" s="336"/>
      <c r="D17" s="159" t="s">
        <v>138</v>
      </c>
      <c r="E17" s="334" t="s">
        <v>240</v>
      </c>
      <c r="F17" s="335"/>
      <c r="G17" s="336"/>
    </row>
    <row r="18" spans="1:7" ht="18.75" customHeight="1">
      <c r="A18" s="160" t="s">
        <v>230</v>
      </c>
      <c r="B18" s="337"/>
      <c r="C18" s="339"/>
      <c r="D18" s="160" t="s">
        <v>230</v>
      </c>
      <c r="E18" s="337" t="s">
        <v>240</v>
      </c>
      <c r="F18" s="338"/>
      <c r="G18" s="339"/>
    </row>
    <row r="19" spans="1:7" ht="18.75" customHeight="1">
      <c r="A19" s="159" t="s">
        <v>231</v>
      </c>
      <c r="B19" s="334"/>
      <c r="C19" s="336"/>
      <c r="D19" s="159" t="s">
        <v>231</v>
      </c>
      <c r="E19" s="334" t="s">
        <v>240</v>
      </c>
      <c r="F19" s="335"/>
      <c r="G19" s="336"/>
    </row>
    <row r="20" spans="1:7" ht="84.75" customHeight="1">
      <c r="A20" s="160" t="s">
        <v>232</v>
      </c>
      <c r="B20" s="337" t="s">
        <v>240</v>
      </c>
      <c r="C20" s="339"/>
      <c r="D20" s="160" t="s">
        <v>232</v>
      </c>
      <c r="E20" s="340" t="s">
        <v>240</v>
      </c>
      <c r="F20" s="341"/>
      <c r="G20" s="342"/>
    </row>
    <row r="21" spans="1:7" ht="18.75" customHeight="1">
      <c r="A21" s="159" t="s">
        <v>235</v>
      </c>
      <c r="B21" s="161"/>
      <c r="C21" s="162"/>
      <c r="D21" s="163"/>
      <c r="E21" s="164"/>
      <c r="F21" s="164"/>
      <c r="G21" s="165"/>
    </row>
  </sheetData>
  <mergeCells count="12">
    <mergeCell ref="E20:G20"/>
    <mergeCell ref="A16:B16"/>
    <mergeCell ref="C16:G16"/>
    <mergeCell ref="B17:C17"/>
    <mergeCell ref="B18:C18"/>
    <mergeCell ref="B19:C19"/>
    <mergeCell ref="B20:C20"/>
    <mergeCell ref="A1:H1"/>
    <mergeCell ref="A2:H2"/>
    <mergeCell ref="E17:G17"/>
    <mergeCell ref="E18:G18"/>
    <mergeCell ref="E19:G19"/>
  </mergeCells>
  <phoneticPr fontId="9" type="noConversion"/>
  <pageMargins left="0.70866141732283472" right="0.70866141732283472" top="0.74803149606299213" bottom="0.74803149606299213" header="0.31496062992125984" footer="0.31496062992125984"/>
  <pageSetup paperSize="9" scale="68" orientation="landscape"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F394-4871-4C89-B206-F8B668D86E02}">
  <sheetPr>
    <tabColor theme="0" tint="-0.14999847407452621"/>
  </sheetPr>
  <dimension ref="A1:C44"/>
  <sheetViews>
    <sheetView view="pageBreakPreview" zoomScaleNormal="100" zoomScaleSheetLayoutView="100" workbookViewId="0">
      <selection activeCell="C14" sqref="C14"/>
    </sheetView>
  </sheetViews>
  <sheetFormatPr defaultColWidth="9" defaultRowHeight="12.75"/>
  <cols>
    <col min="1" max="1" width="52" style="270" customWidth="1"/>
    <col min="2" max="2" width="16.42578125" style="270" bestFit="1" customWidth="1"/>
    <col min="3" max="3" width="37.42578125" style="270" bestFit="1" customWidth="1"/>
    <col min="4" max="16384" width="9" style="264"/>
  </cols>
  <sheetData>
    <row r="1" spans="1:3" ht="22.5">
      <c r="A1" s="229" t="s">
        <v>696</v>
      </c>
      <c r="B1" s="229"/>
      <c r="C1" s="229"/>
    </row>
    <row r="2" spans="1:3">
      <c r="A2" s="229" t="s">
        <v>581</v>
      </c>
      <c r="B2" s="229" t="s">
        <v>582</v>
      </c>
      <c r="C2" s="229" t="s">
        <v>697</v>
      </c>
    </row>
    <row r="3" spans="1:3">
      <c r="A3" s="229" t="s">
        <v>586</v>
      </c>
      <c r="B3" s="229"/>
      <c r="C3" s="229"/>
    </row>
    <row r="4" spans="1:3">
      <c r="A4" s="265" t="s">
        <v>589</v>
      </c>
      <c r="B4" s="265" t="s">
        <v>590</v>
      </c>
      <c r="C4" s="266" t="s">
        <v>698</v>
      </c>
    </row>
    <row r="5" spans="1:3">
      <c r="A5" s="265" t="s">
        <v>595</v>
      </c>
      <c r="B5" s="265" t="s">
        <v>590</v>
      </c>
      <c r="C5" s="266" t="s">
        <v>698</v>
      </c>
    </row>
    <row r="6" spans="1:3">
      <c r="A6" s="265" t="s">
        <v>603</v>
      </c>
      <c r="B6" s="265" t="s">
        <v>590</v>
      </c>
      <c r="C6" s="266" t="s">
        <v>698</v>
      </c>
    </row>
    <row r="7" spans="1:3">
      <c r="A7" s="265" t="s">
        <v>605</v>
      </c>
      <c r="B7" s="265" t="s">
        <v>590</v>
      </c>
      <c r="C7" s="266" t="s">
        <v>698</v>
      </c>
    </row>
    <row r="8" spans="1:3">
      <c r="A8" s="267" t="s">
        <v>607</v>
      </c>
      <c r="B8" s="267" t="s">
        <v>590</v>
      </c>
      <c r="C8" s="268" t="s">
        <v>698</v>
      </c>
    </row>
    <row r="9" spans="1:3">
      <c r="A9" s="265" t="s">
        <v>609</v>
      </c>
      <c r="B9" s="265" t="s">
        <v>590</v>
      </c>
      <c r="C9" s="266" t="s">
        <v>698</v>
      </c>
    </row>
    <row r="10" spans="1:3">
      <c r="A10" s="265" t="s">
        <v>611</v>
      </c>
      <c r="B10" s="265" t="s">
        <v>599</v>
      </c>
      <c r="C10" s="266" t="s">
        <v>698</v>
      </c>
    </row>
    <row r="11" spans="1:3">
      <c r="A11" s="265" t="s">
        <v>613</v>
      </c>
      <c r="B11" s="265" t="s">
        <v>590</v>
      </c>
      <c r="C11" s="266" t="s">
        <v>698</v>
      </c>
    </row>
    <row r="12" spans="1:3">
      <c r="A12" s="265" t="s">
        <v>615</v>
      </c>
      <c r="B12" s="265" t="s">
        <v>590</v>
      </c>
      <c r="C12" s="266" t="s">
        <v>698</v>
      </c>
    </row>
    <row r="13" spans="1:3">
      <c r="A13" s="265" t="s">
        <v>617</v>
      </c>
      <c r="B13" s="265" t="s">
        <v>599</v>
      </c>
      <c r="C13" s="266" t="s">
        <v>698</v>
      </c>
    </row>
    <row r="14" spans="1:3">
      <c r="A14" s="265" t="s">
        <v>618</v>
      </c>
      <c r="B14" s="265" t="s">
        <v>590</v>
      </c>
      <c r="C14" s="266" t="s">
        <v>698</v>
      </c>
    </row>
    <row r="15" spans="1:3">
      <c r="A15" s="265" t="s">
        <v>619</v>
      </c>
      <c r="B15" s="265" t="s">
        <v>590</v>
      </c>
      <c r="C15" s="266" t="s">
        <v>698</v>
      </c>
    </row>
    <row r="16" spans="1:3">
      <c r="A16" s="265" t="s">
        <v>624</v>
      </c>
      <c r="B16" s="265" t="s">
        <v>590</v>
      </c>
      <c r="C16" s="266" t="s">
        <v>698</v>
      </c>
    </row>
    <row r="17" spans="1:3">
      <c r="A17" s="265" t="s">
        <v>626</v>
      </c>
      <c r="B17" s="265" t="s">
        <v>599</v>
      </c>
      <c r="C17" s="266" t="s">
        <v>698</v>
      </c>
    </row>
    <row r="18" spans="1:3">
      <c r="A18" s="265" t="s">
        <v>699</v>
      </c>
      <c r="B18" s="265" t="s">
        <v>599</v>
      </c>
      <c r="C18" s="266" t="s">
        <v>698</v>
      </c>
    </row>
    <row r="19" spans="1:3">
      <c r="A19" s="265" t="s">
        <v>629</v>
      </c>
      <c r="B19" s="265" t="s">
        <v>599</v>
      </c>
      <c r="C19" s="266" t="s">
        <v>698</v>
      </c>
    </row>
    <row r="20" spans="1:3">
      <c r="A20" s="265" t="s">
        <v>631</v>
      </c>
      <c r="B20" s="265" t="s">
        <v>599</v>
      </c>
      <c r="C20" s="266" t="s">
        <v>698</v>
      </c>
    </row>
    <row r="21" spans="1:3">
      <c r="A21" s="265" t="s">
        <v>632</v>
      </c>
      <c r="B21" s="265" t="s">
        <v>590</v>
      </c>
      <c r="C21" s="266" t="s">
        <v>698</v>
      </c>
    </row>
    <row r="22" spans="1:3">
      <c r="A22" s="265" t="s">
        <v>633</v>
      </c>
      <c r="B22" s="265" t="s">
        <v>599</v>
      </c>
      <c r="C22" s="266" t="s">
        <v>698</v>
      </c>
    </row>
    <row r="23" spans="1:3">
      <c r="A23" s="265" t="s">
        <v>642</v>
      </c>
      <c r="B23" s="265" t="s">
        <v>599</v>
      </c>
      <c r="C23" s="266" t="s">
        <v>698</v>
      </c>
    </row>
    <row r="24" spans="1:3">
      <c r="A24" s="265" t="s">
        <v>646</v>
      </c>
      <c r="B24" s="265" t="s">
        <v>590</v>
      </c>
      <c r="C24" s="266" t="s">
        <v>698</v>
      </c>
    </row>
    <row r="25" spans="1:3">
      <c r="A25" s="265" t="s">
        <v>648</v>
      </c>
      <c r="B25" s="265" t="s">
        <v>599</v>
      </c>
      <c r="C25" s="266" t="s">
        <v>698</v>
      </c>
    </row>
    <row r="26" spans="1:3">
      <c r="A26" s="265" t="s">
        <v>660</v>
      </c>
      <c r="B26" s="265" t="s">
        <v>599</v>
      </c>
      <c r="C26" s="266" t="s">
        <v>698</v>
      </c>
    </row>
    <row r="27" spans="1:3">
      <c r="A27" s="265" t="s">
        <v>650</v>
      </c>
      <c r="B27" s="265" t="s">
        <v>599</v>
      </c>
      <c r="C27" s="266" t="s">
        <v>698</v>
      </c>
    </row>
    <row r="28" spans="1:3">
      <c r="A28" s="265" t="s">
        <v>700</v>
      </c>
      <c r="B28" s="265" t="s">
        <v>590</v>
      </c>
      <c r="C28" s="266" t="s">
        <v>698</v>
      </c>
    </row>
    <row r="29" spans="1:3">
      <c r="A29" s="229" t="s">
        <v>662</v>
      </c>
      <c r="B29" s="229"/>
      <c r="C29" s="229"/>
    </row>
    <row r="30" spans="1:3">
      <c r="A30" s="265" t="s">
        <v>669</v>
      </c>
      <c r="B30" s="265" t="s">
        <v>599</v>
      </c>
      <c r="C30" s="266" t="s">
        <v>698</v>
      </c>
    </row>
    <row r="31" spans="1:3">
      <c r="A31" s="265" t="s">
        <v>672</v>
      </c>
      <c r="B31" s="265" t="s">
        <v>599</v>
      </c>
      <c r="C31" s="266" t="s">
        <v>698</v>
      </c>
    </row>
    <row r="32" spans="1:3">
      <c r="A32" s="265" t="s">
        <v>674</v>
      </c>
      <c r="B32" s="265" t="s">
        <v>599</v>
      </c>
      <c r="C32" s="266" t="s">
        <v>698</v>
      </c>
    </row>
    <row r="33" spans="1:3">
      <c r="A33" s="265" t="s">
        <v>675</v>
      </c>
      <c r="B33" s="265" t="s">
        <v>599</v>
      </c>
      <c r="C33" s="266" t="s">
        <v>698</v>
      </c>
    </row>
    <row r="34" spans="1:3">
      <c r="A34" s="265" t="s">
        <v>677</v>
      </c>
      <c r="B34" s="265" t="s">
        <v>599</v>
      </c>
      <c r="C34" s="266" t="s">
        <v>698</v>
      </c>
    </row>
    <row r="35" spans="1:3">
      <c r="A35" s="265" t="s">
        <v>679</v>
      </c>
      <c r="B35" s="265" t="s">
        <v>599</v>
      </c>
      <c r="C35" s="266" t="s">
        <v>698</v>
      </c>
    </row>
    <row r="36" spans="1:3">
      <c r="A36" s="265" t="s">
        <v>701</v>
      </c>
      <c r="B36" s="265" t="s">
        <v>599</v>
      </c>
      <c r="C36" s="266" t="s">
        <v>698</v>
      </c>
    </row>
    <row r="37" spans="1:3">
      <c r="A37" s="265" t="s">
        <v>681</v>
      </c>
      <c r="B37" s="265" t="s">
        <v>599</v>
      </c>
      <c r="C37" s="266" t="s">
        <v>698</v>
      </c>
    </row>
    <row r="38" spans="1:3">
      <c r="A38" s="265" t="s">
        <v>60</v>
      </c>
      <c r="B38" s="265" t="s">
        <v>599</v>
      </c>
      <c r="C38" s="266" t="s">
        <v>698</v>
      </c>
    </row>
    <row r="39" spans="1:3">
      <c r="A39" s="265" t="s">
        <v>702</v>
      </c>
      <c r="B39" s="265" t="s">
        <v>599</v>
      </c>
      <c r="C39" s="266" t="s">
        <v>703</v>
      </c>
    </row>
    <row r="40" spans="1:3">
      <c r="A40" s="229" t="s">
        <v>683</v>
      </c>
      <c r="B40" s="229"/>
      <c r="C40" s="229"/>
    </row>
    <row r="41" spans="1:3">
      <c r="A41" s="265" t="s">
        <v>685</v>
      </c>
      <c r="B41" s="265" t="s">
        <v>599</v>
      </c>
      <c r="C41" s="266" t="s">
        <v>704</v>
      </c>
    </row>
    <row r="42" spans="1:3">
      <c r="A42" s="265" t="s">
        <v>694</v>
      </c>
      <c r="B42" s="265" t="s">
        <v>599</v>
      </c>
      <c r="C42" s="266" t="s">
        <v>704</v>
      </c>
    </row>
    <row r="43" spans="1:3">
      <c r="A43" s="265" t="s">
        <v>39</v>
      </c>
      <c r="B43" s="265" t="s">
        <v>599</v>
      </c>
      <c r="C43" s="266" t="s">
        <v>704</v>
      </c>
    </row>
    <row r="44" spans="1:3">
      <c r="A44" s="265"/>
      <c r="B44" s="265"/>
      <c r="C44" s="266"/>
    </row>
  </sheetData>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BF67-0A91-4693-8B0B-161CF46DB58A}">
  <sheetPr>
    <tabColor theme="0" tint="-0.14999847407452621"/>
  </sheetPr>
  <dimension ref="A1:A15"/>
  <sheetViews>
    <sheetView view="pageBreakPreview" zoomScaleNormal="100" zoomScaleSheetLayoutView="100" workbookViewId="0">
      <selection activeCell="A4" sqref="A4"/>
    </sheetView>
  </sheetViews>
  <sheetFormatPr defaultColWidth="9.140625" defaultRowHeight="15" customHeight="1"/>
  <cols>
    <col min="1" max="1" width="126.7109375" style="228" bestFit="1" customWidth="1"/>
    <col min="2" max="2" width="17.85546875" style="228" bestFit="1" customWidth="1"/>
    <col min="3" max="5" width="9.140625" style="228"/>
    <col min="6" max="6" width="19.7109375" style="228" customWidth="1"/>
    <col min="7" max="16384" width="9.140625" style="228"/>
  </cols>
  <sheetData>
    <row r="1" spans="1:1" ht="15" customHeight="1">
      <c r="A1" s="91"/>
    </row>
    <row r="2" spans="1:1" ht="11.25">
      <c r="A2" s="283" t="s">
        <v>719</v>
      </c>
    </row>
    <row r="3" spans="1:1" ht="11.25">
      <c r="A3" s="284"/>
    </row>
    <row r="4" spans="1:1" ht="11.25">
      <c r="A4" s="271" t="s">
        <v>705</v>
      </c>
    </row>
    <row r="5" spans="1:1" ht="11.25">
      <c r="A5" s="271" t="s">
        <v>706</v>
      </c>
    </row>
    <row r="6" spans="1:1" ht="11.25">
      <c r="A6" s="271" t="s">
        <v>707</v>
      </c>
    </row>
    <row r="7" spans="1:1" ht="11.25">
      <c r="A7" s="271" t="s">
        <v>708</v>
      </c>
    </row>
    <row r="8" spans="1:1" ht="11.25">
      <c r="A8" s="271" t="s">
        <v>709</v>
      </c>
    </row>
    <row r="9" spans="1:1" ht="11.25">
      <c r="A9" s="272" t="s">
        <v>710</v>
      </c>
    </row>
    <row r="10" spans="1:1" ht="11.25">
      <c r="A10" s="272" t="s">
        <v>711</v>
      </c>
    </row>
    <row r="11" spans="1:1" ht="11.25">
      <c r="A11" s="272" t="s">
        <v>712</v>
      </c>
    </row>
    <row r="12" spans="1:1" ht="11.25">
      <c r="A12" s="272" t="s">
        <v>713</v>
      </c>
    </row>
    <row r="13" spans="1:1" ht="11.25">
      <c r="A13" s="271" t="s">
        <v>714</v>
      </c>
    </row>
    <row r="14" spans="1:1" ht="11.25">
      <c r="A14" s="228" t="s">
        <v>715</v>
      </c>
    </row>
    <row r="15" spans="1:1" ht="11.25">
      <c r="A15" s="273" t="s">
        <v>716</v>
      </c>
    </row>
  </sheetData>
  <mergeCells count="1">
    <mergeCell ref="A2:A3"/>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theme="0" tint="-0.14999847407452621"/>
  </sheetPr>
  <dimension ref="A1:Q54"/>
  <sheetViews>
    <sheetView showGridLines="0" view="pageBreakPreview" topLeftCell="A4" zoomScaleNormal="100" zoomScaleSheetLayoutView="100" workbookViewId="0">
      <selection activeCell="E24" sqref="E24"/>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233"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5.85546875" style="4" customWidth="1"/>
    <col min="18" max="16384" width="7.85546875" style="4"/>
  </cols>
  <sheetData>
    <row r="1" spans="1:17" s="228" customFormat="1" ht="26.25" customHeight="1">
      <c r="A1" s="302" t="s">
        <v>35</v>
      </c>
      <c r="B1" s="302"/>
      <c r="C1" s="302"/>
      <c r="D1" s="302"/>
      <c r="E1" s="302"/>
    </row>
    <row r="2" spans="1:17" s="228" customFormat="1" ht="15" customHeight="1">
      <c r="A2" s="303" t="s">
        <v>223</v>
      </c>
      <c r="B2" s="303"/>
      <c r="C2" s="303"/>
      <c r="D2" s="303"/>
      <c r="E2" s="303"/>
      <c r="G2" s="307" t="s">
        <v>572</v>
      </c>
      <c r="H2" s="307"/>
      <c r="I2" s="307"/>
      <c r="J2" s="307"/>
      <c r="K2" s="307"/>
      <c r="L2" s="307"/>
      <c r="M2" s="307"/>
      <c r="N2" s="307"/>
      <c r="O2" s="307"/>
      <c r="P2" s="307"/>
      <c r="Q2" s="307"/>
    </row>
    <row r="3" spans="1:17" ht="15" customHeight="1">
      <c r="E3" s="4"/>
      <c r="G3" s="229"/>
      <c r="H3" s="308">
        <v>2024</v>
      </c>
      <c r="I3" s="308"/>
      <c r="J3" s="309">
        <v>2025</v>
      </c>
      <c r="K3" s="310"/>
      <c r="L3" s="309">
        <v>2026</v>
      </c>
      <c r="M3" s="310"/>
      <c r="N3" s="309">
        <v>2027</v>
      </c>
      <c r="O3" s="310"/>
      <c r="P3" s="309">
        <v>2028</v>
      </c>
      <c r="Q3" s="310"/>
    </row>
    <row r="4" spans="1:17" s="31" customFormat="1" ht="26.25" customHeight="1">
      <c r="A4" s="293" t="s">
        <v>84</v>
      </c>
      <c r="B4" s="295"/>
      <c r="C4" s="92" t="s">
        <v>220</v>
      </c>
      <c r="D4" s="92" t="s">
        <v>234</v>
      </c>
      <c r="E4" s="92" t="s">
        <v>91</v>
      </c>
      <c r="G4" s="229" t="s">
        <v>573</v>
      </c>
      <c r="H4" s="229" t="s">
        <v>574</v>
      </c>
      <c r="I4" s="229" t="s">
        <v>575</v>
      </c>
      <c r="J4" s="229" t="s">
        <v>574</v>
      </c>
      <c r="K4" s="229" t="s">
        <v>575</v>
      </c>
      <c r="L4" s="229" t="s">
        <v>574</v>
      </c>
      <c r="M4" s="229" t="s">
        <v>575</v>
      </c>
      <c r="N4" s="229" t="s">
        <v>574</v>
      </c>
      <c r="O4" s="229" t="s">
        <v>575</v>
      </c>
      <c r="P4" s="229" t="s">
        <v>574</v>
      </c>
      <c r="Q4" s="229" t="s">
        <v>575</v>
      </c>
    </row>
    <row r="5" spans="1:17" ht="15" customHeight="1">
      <c r="A5" s="300" t="s">
        <v>107</v>
      </c>
      <c r="B5" s="301"/>
      <c r="C5" s="8">
        <v>0</v>
      </c>
      <c r="D5" s="9">
        <v>0</v>
      </c>
      <c r="E5" s="11">
        <f>C5*D5</f>
        <v>0</v>
      </c>
      <c r="G5" s="221"/>
      <c r="H5" s="221"/>
      <c r="I5" s="221"/>
      <c r="J5" s="221"/>
      <c r="K5" s="221"/>
      <c r="L5" s="221"/>
      <c r="M5" s="221"/>
      <c r="N5" s="221"/>
      <c r="O5" s="221"/>
      <c r="P5" s="221"/>
      <c r="Q5" s="221"/>
    </row>
    <row r="6" spans="1:17" ht="15" customHeight="1">
      <c r="A6" s="300" t="s">
        <v>75</v>
      </c>
      <c r="B6" s="301"/>
      <c r="C6" s="8">
        <v>0</v>
      </c>
      <c r="D6" s="9">
        <v>0</v>
      </c>
      <c r="E6" s="11">
        <f>C6*D6</f>
        <v>0</v>
      </c>
      <c r="G6" s="221"/>
      <c r="H6" s="221"/>
      <c r="I6" s="221"/>
      <c r="J6" s="221"/>
      <c r="K6" s="221"/>
      <c r="L6" s="221"/>
      <c r="M6" s="221"/>
      <c r="N6" s="221"/>
      <c r="O6" s="221"/>
      <c r="P6" s="221"/>
      <c r="Q6" s="221"/>
    </row>
    <row r="7" spans="1:17" ht="15" customHeight="1">
      <c r="A7" s="296"/>
      <c r="B7" s="298"/>
      <c r="C7" s="8">
        <v>0</v>
      </c>
      <c r="D7" s="9">
        <v>0</v>
      </c>
      <c r="E7" s="11">
        <f>C7*D7</f>
        <v>0</v>
      </c>
      <c r="G7" s="221"/>
      <c r="H7" s="221"/>
      <c r="I7" s="221"/>
      <c r="J7" s="221"/>
      <c r="K7" s="221"/>
      <c r="L7" s="221"/>
      <c r="M7" s="221"/>
      <c r="N7" s="221"/>
      <c r="O7" s="221"/>
      <c r="P7" s="221"/>
      <c r="Q7" s="221"/>
    </row>
    <row r="8" spans="1:17" ht="15" customHeight="1">
      <c r="A8" s="285" t="s">
        <v>76</v>
      </c>
      <c r="B8" s="287"/>
      <c r="C8" s="8">
        <v>0</v>
      </c>
      <c r="D8" s="9">
        <v>0</v>
      </c>
      <c r="E8" s="11">
        <f>C8*D8</f>
        <v>0</v>
      </c>
      <c r="G8" s="221"/>
      <c r="H8" s="221"/>
      <c r="I8" s="221"/>
      <c r="J8" s="221"/>
      <c r="K8" s="221"/>
      <c r="L8" s="221"/>
      <c r="M8" s="221"/>
      <c r="N8" s="221"/>
      <c r="O8" s="221"/>
      <c r="P8" s="221"/>
      <c r="Q8" s="221"/>
    </row>
    <row r="9" spans="1:17" ht="15" customHeight="1">
      <c r="A9" s="304" t="s">
        <v>108</v>
      </c>
      <c r="B9" s="305"/>
      <c r="C9" s="306"/>
      <c r="D9" s="10">
        <f>SUM(D5:D8)</f>
        <v>0</v>
      </c>
      <c r="E9" s="11" t="str">
        <f>IF(SUM($D$5:$D$8)=100%,SUM(E5:E8),"    GEEN 100%")</f>
        <v xml:space="preserve">    GEEN 100%</v>
      </c>
      <c r="G9" s="221"/>
      <c r="H9" s="230"/>
      <c r="I9" s="221"/>
      <c r="J9" s="221"/>
      <c r="K9" s="221"/>
      <c r="L9" s="221"/>
      <c r="M9" s="221"/>
      <c r="N9" s="221"/>
      <c r="O9" s="221"/>
      <c r="P9" s="221"/>
      <c r="Q9" s="221"/>
    </row>
    <row r="10" spans="1:17" ht="15" customHeight="1">
      <c r="A10" s="299" t="s">
        <v>77</v>
      </c>
      <c r="B10" s="299"/>
      <c r="C10" s="299"/>
      <c r="D10" s="169" t="s">
        <v>3</v>
      </c>
      <c r="E10" s="171">
        <f>SUM(E9:E9)</f>
        <v>0</v>
      </c>
      <c r="G10" s="221" t="s">
        <v>576</v>
      </c>
      <c r="H10" s="230"/>
      <c r="I10" s="171">
        <f>(E10*H10)+E10</f>
        <v>0</v>
      </c>
      <c r="J10" s="230">
        <v>0</v>
      </c>
      <c r="K10" s="171">
        <f>(I10*J10)+I10</f>
        <v>0</v>
      </c>
      <c r="L10" s="230">
        <v>0</v>
      </c>
      <c r="M10" s="171">
        <f>(K10*L10)+K10</f>
        <v>0</v>
      </c>
      <c r="N10" s="230">
        <v>0</v>
      </c>
      <c r="O10" s="171">
        <f>(M10*N10)+M10</f>
        <v>0</v>
      </c>
      <c r="P10" s="230">
        <v>0</v>
      </c>
      <c r="Q10" s="171">
        <f>(O10*P10)+O10</f>
        <v>0</v>
      </c>
    </row>
    <row r="11" spans="1:17" ht="15" customHeight="1">
      <c r="A11" s="231"/>
      <c r="B11" s="232"/>
      <c r="C11" s="232"/>
      <c r="D11" s="232"/>
      <c r="G11" s="221"/>
      <c r="H11" s="221"/>
      <c r="I11" s="221"/>
      <c r="J11" s="221"/>
      <c r="K11" s="221"/>
      <c r="L11" s="221"/>
      <c r="M11" s="221"/>
      <c r="N11" s="221"/>
      <c r="O11" s="221"/>
      <c r="P11" s="221"/>
      <c r="Q11" s="221"/>
    </row>
    <row r="12" spans="1:17" s="31" customFormat="1" ht="26.25" customHeight="1">
      <c r="A12" s="293" t="s">
        <v>79</v>
      </c>
      <c r="B12" s="294"/>
      <c r="C12" s="295"/>
      <c r="D12" s="93" t="s">
        <v>88</v>
      </c>
      <c r="E12" s="92" t="s">
        <v>91</v>
      </c>
      <c r="G12" s="92"/>
      <c r="H12" s="92"/>
      <c r="I12" s="92"/>
      <c r="J12" s="92"/>
      <c r="K12" s="92"/>
      <c r="L12" s="92"/>
      <c r="M12" s="92"/>
      <c r="N12" s="92"/>
      <c r="O12" s="92"/>
      <c r="P12" s="92"/>
      <c r="Q12" s="92"/>
    </row>
    <row r="13" spans="1:17" ht="15" customHeight="1">
      <c r="A13" s="288" t="s">
        <v>4</v>
      </c>
      <c r="B13" s="289"/>
      <c r="C13" s="289"/>
      <c r="D13" s="222">
        <v>0</v>
      </c>
      <c r="E13" s="234">
        <f>SUM($E$10*D13)</f>
        <v>0</v>
      </c>
      <c r="G13" s="221" t="s">
        <v>577</v>
      </c>
      <c r="H13" s="230"/>
      <c r="I13" s="235">
        <f>(E13*H13)+E13</f>
        <v>0</v>
      </c>
      <c r="J13" s="236"/>
      <c r="K13" s="235">
        <f>(I13*J13)+I13</f>
        <v>0</v>
      </c>
      <c r="L13" s="236"/>
      <c r="M13" s="235">
        <f>(K13*L13)+K13</f>
        <v>0</v>
      </c>
      <c r="N13" s="236"/>
      <c r="O13" s="235">
        <f>(M13*N13)+M13</f>
        <v>0</v>
      </c>
      <c r="P13" s="236"/>
      <c r="Q13" s="235">
        <f>(O13*P13)+O13</f>
        <v>0</v>
      </c>
    </row>
    <row r="14" spans="1:17" ht="15" customHeight="1">
      <c r="A14" s="289" t="s">
        <v>93</v>
      </c>
      <c r="B14" s="289"/>
      <c r="C14" s="289"/>
      <c r="D14" s="222">
        <v>0</v>
      </c>
      <c r="E14" s="234">
        <f>SUM($E$10*D14)</f>
        <v>0</v>
      </c>
      <c r="G14" s="221" t="s">
        <v>577</v>
      </c>
      <c r="H14" s="230"/>
      <c r="I14" s="235">
        <f>(E14*H14)+E14</f>
        <v>0</v>
      </c>
      <c r="J14" s="236"/>
      <c r="K14" s="235">
        <f>(I14*J14)+I14</f>
        <v>0</v>
      </c>
      <c r="L14" s="236"/>
      <c r="M14" s="235">
        <f>(K14*L14)+K14</f>
        <v>0</v>
      </c>
      <c r="N14" s="236"/>
      <c r="O14" s="235">
        <f>(M14*N14)+M14</f>
        <v>0</v>
      </c>
      <c r="P14" s="236"/>
      <c r="Q14" s="235">
        <f>(O14*P14)+O14</f>
        <v>0</v>
      </c>
    </row>
    <row r="15" spans="1:17" ht="15" customHeight="1">
      <c r="A15" s="289" t="s">
        <v>5</v>
      </c>
      <c r="B15" s="289"/>
      <c r="C15" s="289"/>
      <c r="D15" s="222">
        <v>0</v>
      </c>
      <c r="E15" s="234">
        <f>SUM($E$10*D15)</f>
        <v>0</v>
      </c>
      <c r="G15" s="221" t="s">
        <v>577</v>
      </c>
      <c r="H15" s="230"/>
      <c r="I15" s="235">
        <f>(E15*H15)+E15</f>
        <v>0</v>
      </c>
      <c r="J15" s="236"/>
      <c r="K15" s="235">
        <f>(I15*J15)+I15</f>
        <v>0</v>
      </c>
      <c r="L15" s="236"/>
      <c r="M15" s="235">
        <f>(K15*L15)+K15</f>
        <v>0</v>
      </c>
      <c r="N15" s="236"/>
      <c r="O15" s="235">
        <f>(M15*N15)+M15</f>
        <v>0</v>
      </c>
      <c r="P15" s="236"/>
      <c r="Q15" s="235">
        <f>(O15*P15)+O15</f>
        <v>0</v>
      </c>
    </row>
    <row r="16" spans="1:17" ht="15" customHeight="1">
      <c r="A16" s="289" t="s">
        <v>6</v>
      </c>
      <c r="B16" s="289"/>
      <c r="C16" s="289"/>
      <c r="D16" s="222">
        <v>0</v>
      </c>
      <c r="E16" s="234">
        <f>SUM($E$10*D16)</f>
        <v>0</v>
      </c>
      <c r="G16" s="221" t="s">
        <v>577</v>
      </c>
      <c r="H16" s="230"/>
      <c r="I16" s="235">
        <f>(E16*H16)+E16</f>
        <v>0</v>
      </c>
      <c r="J16" s="236"/>
      <c r="K16" s="235">
        <f>(I16*J16)+I16</f>
        <v>0</v>
      </c>
      <c r="L16" s="236"/>
      <c r="M16" s="235">
        <f>(K16*L16)+K16</f>
        <v>0</v>
      </c>
      <c r="N16" s="236"/>
      <c r="O16" s="235">
        <f>(M16*N16)+M16</f>
        <v>0</v>
      </c>
      <c r="P16" s="236"/>
      <c r="Q16" s="235">
        <f>(O16*P16)+O16</f>
        <v>0</v>
      </c>
    </row>
    <row r="17" spans="1:17" ht="15" customHeight="1">
      <c r="A17" s="296" t="s">
        <v>96</v>
      </c>
      <c r="B17" s="297"/>
      <c r="C17" s="298"/>
      <c r="D17" s="222">
        <v>0</v>
      </c>
      <c r="E17" s="234">
        <f>SUM($E$10*D17)</f>
        <v>0</v>
      </c>
      <c r="G17" s="221" t="s">
        <v>577</v>
      </c>
      <c r="H17" s="230"/>
      <c r="I17" s="235">
        <f>(E17*H17)+E17</f>
        <v>0</v>
      </c>
      <c r="J17" s="236"/>
      <c r="K17" s="235">
        <f>(I17*J17)+I17</f>
        <v>0</v>
      </c>
      <c r="L17" s="236"/>
      <c r="M17" s="235">
        <f>(K17*L17)+K17</f>
        <v>0</v>
      </c>
      <c r="N17" s="236"/>
      <c r="O17" s="235">
        <f>(M17*N17)+M17</f>
        <v>0</v>
      </c>
      <c r="P17" s="236"/>
      <c r="Q17" s="235">
        <f>(O17*P17)+O17</f>
        <v>0</v>
      </c>
    </row>
    <row r="18" spans="1:17" ht="15" customHeight="1">
      <c r="A18" s="299" t="s">
        <v>85</v>
      </c>
      <c r="B18" s="299"/>
      <c r="C18" s="299"/>
      <c r="D18" s="172"/>
      <c r="E18" s="173">
        <f>SUM(E13:E17)</f>
        <v>0</v>
      </c>
      <c r="G18" s="221"/>
      <c r="H18" s="221"/>
      <c r="I18" s="173">
        <f>SUM(I13:I17)</f>
        <v>0</v>
      </c>
      <c r="J18" s="221"/>
      <c r="K18" s="173">
        <f>SUM(K13:K17)</f>
        <v>0</v>
      </c>
      <c r="L18" s="221"/>
      <c r="M18" s="173">
        <f>SUM(M13:M17)</f>
        <v>0</v>
      </c>
      <c r="N18" s="221"/>
      <c r="O18" s="173">
        <f>SUM(O13:O17)</f>
        <v>0</v>
      </c>
      <c r="P18" s="221"/>
      <c r="Q18" s="173">
        <f>SUM(Q13:Q17)</f>
        <v>0</v>
      </c>
    </row>
    <row r="19" spans="1:17" ht="15" customHeight="1">
      <c r="D19" s="237"/>
      <c r="E19" s="238"/>
      <c r="G19" s="221"/>
      <c r="H19" s="221"/>
      <c r="I19" s="221"/>
      <c r="J19" s="221"/>
      <c r="K19" s="221"/>
      <c r="L19" s="221"/>
      <c r="M19" s="221"/>
      <c r="N19" s="221"/>
      <c r="O19" s="221"/>
      <c r="P19" s="221"/>
      <c r="Q19" s="221"/>
    </row>
    <row r="20" spans="1:17" s="31" customFormat="1" ht="26.25" customHeight="1">
      <c r="A20" s="293" t="s">
        <v>80</v>
      </c>
      <c r="B20" s="294"/>
      <c r="C20" s="295"/>
      <c r="D20" s="93" t="s">
        <v>89</v>
      </c>
      <c r="E20" s="92" t="s">
        <v>91</v>
      </c>
      <c r="G20" s="92"/>
      <c r="H20" s="92"/>
      <c r="I20" s="92"/>
      <c r="J20" s="92"/>
      <c r="K20" s="92"/>
      <c r="L20" s="92"/>
      <c r="M20" s="92"/>
      <c r="N20" s="92"/>
      <c r="O20" s="92"/>
      <c r="P20" s="92"/>
      <c r="Q20" s="92"/>
    </row>
    <row r="21" spans="1:17" ht="15" customHeight="1">
      <c r="A21" s="289" t="s">
        <v>7</v>
      </c>
      <c r="B21" s="289"/>
      <c r="C21" s="289"/>
      <c r="D21" s="239" t="e">
        <f>E21/$E$35</f>
        <v>#DIV/0!</v>
      </c>
      <c r="E21" s="240">
        <v>0</v>
      </c>
      <c r="G21" s="221" t="s">
        <v>577</v>
      </c>
      <c r="H21" s="230"/>
      <c r="I21" s="235">
        <f>(E21*H21)+E21</f>
        <v>0</v>
      </c>
      <c r="J21" s="236"/>
      <c r="K21" s="235">
        <f>(I21*J21)+I21</f>
        <v>0</v>
      </c>
      <c r="L21" s="236"/>
      <c r="M21" s="235">
        <f>(K21*L21)+K21</f>
        <v>0</v>
      </c>
      <c r="N21" s="236"/>
      <c r="O21" s="235">
        <f>(M21*N21)+M21</f>
        <v>0</v>
      </c>
      <c r="P21" s="236"/>
      <c r="Q21" s="235">
        <f>(O21*P21)+O21</f>
        <v>0</v>
      </c>
    </row>
    <row r="22" spans="1:17" ht="15" customHeight="1">
      <c r="A22" s="288" t="s">
        <v>8</v>
      </c>
      <c r="B22" s="289"/>
      <c r="C22" s="289"/>
      <c r="D22" s="239" t="e">
        <f>E22/$E$35</f>
        <v>#DIV/0!</v>
      </c>
      <c r="E22" s="240">
        <v>0</v>
      </c>
      <c r="G22" s="221" t="s">
        <v>577</v>
      </c>
      <c r="H22" s="230"/>
      <c r="I22" s="235">
        <f>(E22*H22)+E22</f>
        <v>0</v>
      </c>
      <c r="J22" s="236"/>
      <c r="K22" s="235">
        <f>(I22*J22)+I22</f>
        <v>0</v>
      </c>
      <c r="L22" s="236"/>
      <c r="M22" s="235">
        <f>(K22*L22)+K22</f>
        <v>0</v>
      </c>
      <c r="N22" s="236"/>
      <c r="O22" s="235">
        <f>(M22*N22)+M22</f>
        <v>0</v>
      </c>
      <c r="P22" s="236"/>
      <c r="Q22" s="235">
        <f>(O22*P22)+O22</f>
        <v>0</v>
      </c>
    </row>
    <row r="23" spans="1:17" ht="15" customHeight="1">
      <c r="A23" s="289" t="s">
        <v>9</v>
      </c>
      <c r="B23" s="289"/>
      <c r="C23" s="289"/>
      <c r="D23" s="239" t="e">
        <f>E23/$E$35</f>
        <v>#DIV/0!</v>
      </c>
      <c r="E23" s="240">
        <v>0</v>
      </c>
      <c r="G23" s="221" t="s">
        <v>577</v>
      </c>
      <c r="H23" s="230"/>
      <c r="I23" s="241">
        <f>(E23*H23)+E23</f>
        <v>0</v>
      </c>
      <c r="J23" s="236"/>
      <c r="K23" s="235">
        <f>(I23*J23)+I23</f>
        <v>0</v>
      </c>
      <c r="L23" s="236"/>
      <c r="M23" s="235">
        <f>(K23*L23)+K23</f>
        <v>0</v>
      </c>
      <c r="N23" s="236"/>
      <c r="O23" s="235">
        <f>(M23*N23)+M23</f>
        <v>0</v>
      </c>
      <c r="P23" s="236"/>
      <c r="Q23" s="235">
        <f>(O23*P23)+O23</f>
        <v>0</v>
      </c>
    </row>
    <row r="24" spans="1:17" ht="15" customHeight="1">
      <c r="A24" s="285" t="s">
        <v>10</v>
      </c>
      <c r="B24" s="286"/>
      <c r="C24" s="287"/>
      <c r="D24" s="222">
        <v>0</v>
      </c>
      <c r="E24" s="242">
        <f>D24*$E$10</f>
        <v>0</v>
      </c>
      <c r="G24" s="221" t="s">
        <v>576</v>
      </c>
      <c r="H24" s="230"/>
      <c r="I24" s="235">
        <f>(E24*H24)+E24</f>
        <v>0</v>
      </c>
      <c r="J24" s="236"/>
      <c r="K24" s="235">
        <f>(I24*J24)+I24</f>
        <v>0</v>
      </c>
      <c r="L24" s="236"/>
      <c r="M24" s="235">
        <f>(K24*L24)+K24</f>
        <v>0</v>
      </c>
      <c r="N24" s="236"/>
      <c r="O24" s="235">
        <f>(M24*N24)+M24</f>
        <v>0</v>
      </c>
      <c r="P24" s="236"/>
      <c r="Q24" s="235">
        <f>(O24*P24)+O24</f>
        <v>0</v>
      </c>
    </row>
    <row r="25" spans="1:17" ht="15" customHeight="1">
      <c r="A25" s="296" t="s">
        <v>94</v>
      </c>
      <c r="B25" s="297"/>
      <c r="C25" s="298"/>
      <c r="D25" s="239" t="e">
        <f>E25/$E$35</f>
        <v>#DIV/0!</v>
      </c>
      <c r="E25" s="240">
        <v>0</v>
      </c>
      <c r="G25" s="221" t="s">
        <v>577</v>
      </c>
      <c r="H25" s="230"/>
      <c r="I25" s="241">
        <f>(E25*H25)+E25</f>
        <v>0</v>
      </c>
      <c r="J25" s="236"/>
      <c r="K25" s="235">
        <f>(I25*J25)+I25</f>
        <v>0</v>
      </c>
      <c r="L25" s="236"/>
      <c r="M25" s="235">
        <f>(K25*L25)+K25</f>
        <v>0</v>
      </c>
      <c r="N25" s="236"/>
      <c r="O25" s="235">
        <f>(M25*N25)+M25</f>
        <v>0</v>
      </c>
      <c r="P25" s="236"/>
      <c r="Q25" s="235">
        <f>(O25*P25)+O25</f>
        <v>0</v>
      </c>
    </row>
    <row r="26" spans="1:17" ht="15" customHeight="1">
      <c r="A26" s="299" t="s">
        <v>86</v>
      </c>
      <c r="B26" s="299"/>
      <c r="C26" s="299"/>
      <c r="D26" s="169" t="s">
        <v>3</v>
      </c>
      <c r="E26" s="171">
        <f>SUM(E21:E25)</f>
        <v>0</v>
      </c>
      <c r="G26" s="221"/>
      <c r="H26" s="221"/>
      <c r="I26" s="171">
        <f>SUM(I21:I25)</f>
        <v>0</v>
      </c>
      <c r="J26" s="221"/>
      <c r="K26" s="171">
        <f>SUM(K21:K25)</f>
        <v>0</v>
      </c>
      <c r="L26" s="221"/>
      <c r="M26" s="171">
        <f>SUM(M21:M25)</f>
        <v>0</v>
      </c>
      <c r="N26" s="221"/>
      <c r="O26" s="171">
        <f>SUM(O21:O25)</f>
        <v>0</v>
      </c>
      <c r="P26" s="221"/>
      <c r="Q26" s="171">
        <f>SUM(Q21:Q25)</f>
        <v>0</v>
      </c>
    </row>
    <row r="27" spans="1:17" ht="15" customHeight="1">
      <c r="A27" s="33"/>
      <c r="B27" s="33"/>
      <c r="C27" s="33"/>
      <c r="D27" s="243"/>
      <c r="E27" s="244"/>
      <c r="G27" s="221"/>
      <c r="H27" s="221"/>
      <c r="I27" s="221"/>
      <c r="J27" s="221"/>
      <c r="K27" s="221"/>
      <c r="L27" s="221"/>
      <c r="M27" s="221"/>
      <c r="N27" s="221"/>
      <c r="O27" s="221"/>
      <c r="P27" s="221"/>
      <c r="Q27" s="221"/>
    </row>
    <row r="28" spans="1:17" s="31" customFormat="1" ht="26.25" customHeight="1">
      <c r="A28" s="293" t="s">
        <v>81</v>
      </c>
      <c r="B28" s="294"/>
      <c r="C28" s="295"/>
      <c r="D28" s="93" t="s">
        <v>89</v>
      </c>
      <c r="E28" s="92" t="s">
        <v>91</v>
      </c>
      <c r="G28" s="92"/>
      <c r="H28" s="92"/>
      <c r="I28" s="92"/>
      <c r="J28" s="92"/>
      <c r="K28" s="92"/>
      <c r="L28" s="92"/>
      <c r="M28" s="92"/>
      <c r="N28" s="92"/>
      <c r="O28" s="92"/>
      <c r="P28" s="92"/>
      <c r="Q28" s="92"/>
    </row>
    <row r="29" spans="1:17" ht="15" customHeight="1">
      <c r="A29" s="288" t="s">
        <v>11</v>
      </c>
      <c r="B29" s="289"/>
      <c r="C29" s="289"/>
      <c r="D29" s="222">
        <v>0</v>
      </c>
      <c r="E29" s="242">
        <f>D29*($E$18+$E$10)</f>
        <v>0</v>
      </c>
      <c r="G29" s="221" t="s">
        <v>577</v>
      </c>
      <c r="H29" s="230"/>
      <c r="I29" s="235">
        <f>(E29*H29)+E29</f>
        <v>0</v>
      </c>
      <c r="J29" s="236"/>
      <c r="K29" s="235">
        <f>(I29*J29)+I29</f>
        <v>0</v>
      </c>
      <c r="L29" s="236"/>
      <c r="M29" s="235">
        <f>(K29*L29)+K29</f>
        <v>0</v>
      </c>
      <c r="N29" s="236"/>
      <c r="O29" s="235">
        <f>(M29*N29)+M29</f>
        <v>0</v>
      </c>
      <c r="P29" s="236"/>
      <c r="Q29" s="235">
        <f>(O29*P29)+O29</f>
        <v>0</v>
      </c>
    </row>
    <row r="30" spans="1:17" ht="15" customHeight="1">
      <c r="A30" s="288" t="s">
        <v>82</v>
      </c>
      <c r="B30" s="289"/>
      <c r="C30" s="289"/>
      <c r="D30" s="245" t="e">
        <f>E30/$E$35</f>
        <v>#DIV/0!</v>
      </c>
      <c r="E30" s="240">
        <v>0</v>
      </c>
      <c r="G30" s="221" t="s">
        <v>577</v>
      </c>
      <c r="H30" s="230"/>
      <c r="I30" s="241">
        <f>(E30*H30)+E30</f>
        <v>0</v>
      </c>
      <c r="J30" s="236"/>
      <c r="K30" s="235">
        <f>(I30*J30)+I30</f>
        <v>0</v>
      </c>
      <c r="L30" s="236"/>
      <c r="M30" s="235">
        <f>(K30*L30)+K30</f>
        <v>0</v>
      </c>
      <c r="N30" s="236"/>
      <c r="O30" s="235">
        <f>(M30*N30)+M30</f>
        <v>0</v>
      </c>
      <c r="P30" s="236"/>
      <c r="Q30" s="235">
        <f>(O30*P30)+O30</f>
        <v>0</v>
      </c>
    </row>
    <row r="31" spans="1:17" ht="15" customHeight="1">
      <c r="A31" s="296" t="s">
        <v>95</v>
      </c>
      <c r="B31" s="297"/>
      <c r="C31" s="298"/>
      <c r="D31" s="239" t="e">
        <f>E31/$E$35</f>
        <v>#DIV/0!</v>
      </c>
      <c r="E31" s="240">
        <v>0</v>
      </c>
      <c r="G31" s="221" t="s">
        <v>577</v>
      </c>
      <c r="H31" s="230"/>
      <c r="I31" s="241">
        <f>(E31*H31)+E31</f>
        <v>0</v>
      </c>
      <c r="J31" s="236"/>
      <c r="K31" s="235">
        <f>(I31*J31)+I31</f>
        <v>0</v>
      </c>
      <c r="L31" s="236"/>
      <c r="M31" s="235">
        <f>(K31*L31)+K31</f>
        <v>0</v>
      </c>
      <c r="N31" s="236"/>
      <c r="O31" s="235">
        <f>(M31*N31)+M31</f>
        <v>0</v>
      </c>
      <c r="P31" s="236"/>
      <c r="Q31" s="235">
        <f>(O31*P31)+O31</f>
        <v>0</v>
      </c>
    </row>
    <row r="32" spans="1:17" ht="15" customHeight="1">
      <c r="A32" s="289" t="s">
        <v>83</v>
      </c>
      <c r="B32" s="289"/>
      <c r="C32" s="289"/>
      <c r="D32" s="245" t="e">
        <f>E32/$E$35</f>
        <v>#DIV/0!</v>
      </c>
      <c r="E32" s="240">
        <v>0</v>
      </c>
      <c r="G32" s="221"/>
      <c r="H32" s="221"/>
      <c r="I32" s="241">
        <f>(E32*H32)+E32</f>
        <v>0</v>
      </c>
      <c r="J32" s="236"/>
      <c r="K32" s="235">
        <f>(I32*J32)+I32</f>
        <v>0</v>
      </c>
      <c r="L32" s="236"/>
      <c r="M32" s="235">
        <f>(K32*L32)+K32</f>
        <v>0</v>
      </c>
      <c r="N32" s="236"/>
      <c r="O32" s="235">
        <f>(M32*N32)+M32</f>
        <v>0</v>
      </c>
      <c r="P32" s="236"/>
      <c r="Q32" s="235">
        <f>(O32*P32)+O32</f>
        <v>0</v>
      </c>
    </row>
    <row r="33" spans="1:17" ht="15" customHeight="1">
      <c r="A33" s="299" t="s">
        <v>87</v>
      </c>
      <c r="B33" s="299"/>
      <c r="C33" s="299"/>
      <c r="D33" s="169"/>
      <c r="E33" s="170">
        <f>SUM(E29:E32)</f>
        <v>0</v>
      </c>
      <c r="G33" s="221"/>
      <c r="H33" s="221"/>
      <c r="I33" s="170">
        <f>SUM(I29:I32)</f>
        <v>0</v>
      </c>
      <c r="J33" s="221"/>
      <c r="K33" s="170">
        <f>SUM(K29:K32)</f>
        <v>0</v>
      </c>
      <c r="L33" s="221"/>
      <c r="M33" s="170">
        <f>SUM(M29:M32)</f>
        <v>0</v>
      </c>
      <c r="N33" s="221"/>
      <c r="O33" s="170">
        <f>SUM(O29:O32)</f>
        <v>0</v>
      </c>
      <c r="P33" s="221"/>
      <c r="Q33" s="170">
        <f>SUM(Q29:Q32)</f>
        <v>0</v>
      </c>
    </row>
    <row r="34" spans="1:17" ht="15" customHeight="1">
      <c r="A34" s="33"/>
      <c r="B34" s="33"/>
      <c r="C34" s="33"/>
      <c r="D34" s="243"/>
      <c r="E34" s="246"/>
      <c r="H34" s="221"/>
      <c r="I34" s="221"/>
      <c r="J34" s="221"/>
      <c r="K34" s="221"/>
      <c r="L34" s="221"/>
      <c r="M34" s="221"/>
      <c r="N34" s="221"/>
      <c r="O34" s="221"/>
      <c r="P34" s="221"/>
      <c r="Q34" s="221"/>
    </row>
    <row r="35" spans="1:17" ht="26.25" customHeight="1">
      <c r="A35" s="290" t="s">
        <v>106</v>
      </c>
      <c r="B35" s="291"/>
      <c r="C35" s="291"/>
      <c r="D35" s="292"/>
      <c r="E35" s="168">
        <f>E33+E26+E18+E10</f>
        <v>0</v>
      </c>
      <c r="G35" s="146"/>
      <c r="H35" s="221"/>
      <c r="I35" s="168">
        <f>I33+I26+I18+I10</f>
        <v>0</v>
      </c>
      <c r="J35" s="221"/>
      <c r="K35" s="168">
        <f>K33+K26+K18+K10</f>
        <v>0</v>
      </c>
      <c r="L35" s="221"/>
      <c r="M35" s="168">
        <f>M33+M26+M18+M10</f>
        <v>0</v>
      </c>
      <c r="N35" s="221"/>
      <c r="O35" s="168">
        <f>O33+O26+O18+O10</f>
        <v>0</v>
      </c>
      <c r="P35" s="221"/>
      <c r="Q35" s="168">
        <f>Q33+Q26+Q18+Q10</f>
        <v>0</v>
      </c>
    </row>
    <row r="36" spans="1:17" ht="15" customHeight="1">
      <c r="D36" s="237"/>
      <c r="E36" s="238"/>
    </row>
    <row r="37" spans="1:17" ht="26.25" customHeight="1">
      <c r="A37" s="94" t="s">
        <v>90</v>
      </c>
      <c r="B37" s="95"/>
      <c r="C37" s="93" t="s">
        <v>105</v>
      </c>
      <c r="D37" s="93" t="s">
        <v>103</v>
      </c>
      <c r="E37" s="93" t="s">
        <v>104</v>
      </c>
      <c r="H37" s="93" t="s">
        <v>578</v>
      </c>
      <c r="I37" s="247" t="e">
        <f>(I35/E35)-100%</f>
        <v>#DIV/0!</v>
      </c>
      <c r="J37" s="93"/>
      <c r="K37" s="247" t="e">
        <f>(K35/I35)-100%</f>
        <v>#DIV/0!</v>
      </c>
      <c r="L37" s="93"/>
      <c r="M37" s="247" t="e">
        <f>(M35/K35)-100%</f>
        <v>#DIV/0!</v>
      </c>
      <c r="N37" s="93"/>
      <c r="O37" s="247" t="e">
        <f>(O35/M35)-100%</f>
        <v>#DIV/0!</v>
      </c>
      <c r="P37" s="93"/>
      <c r="Q37" s="247" t="e">
        <f>(Q35/O35)-100%</f>
        <v>#DIV/0!</v>
      </c>
    </row>
    <row r="38" spans="1:17" ht="15" customHeight="1">
      <c r="A38" s="221" t="s">
        <v>92</v>
      </c>
      <c r="B38" s="221" t="s">
        <v>98</v>
      </c>
      <c r="C38" s="13">
        <v>0</v>
      </c>
      <c r="D38" s="14">
        <f>+E35</f>
        <v>0</v>
      </c>
      <c r="E38" s="15">
        <f>D38*121%</f>
        <v>0</v>
      </c>
      <c r="F38" s="146"/>
      <c r="H38" s="221"/>
      <c r="I38" s="11" t="e">
        <f>(D38*$I$37)+D38</f>
        <v>#DIV/0!</v>
      </c>
      <c r="J38" s="221"/>
      <c r="K38" s="11" t="e">
        <f>(I38*$K$37)+I38</f>
        <v>#DIV/0!</v>
      </c>
      <c r="L38" s="221"/>
      <c r="M38" s="11" t="e">
        <f>(K38*$M$37)+K38</f>
        <v>#DIV/0!</v>
      </c>
      <c r="N38" s="221"/>
      <c r="O38" s="11" t="e">
        <f>(M38*$O$37)+M38</f>
        <v>#DIV/0!</v>
      </c>
      <c r="P38" s="221"/>
      <c r="Q38" s="11" t="e">
        <f>(O38*$Q$37)+O38</f>
        <v>#DIV/0!</v>
      </c>
    </row>
    <row r="39" spans="1:17" ht="15" customHeight="1">
      <c r="A39" s="221" t="s">
        <v>97</v>
      </c>
      <c r="B39" s="221" t="s">
        <v>99</v>
      </c>
      <c r="C39" s="13">
        <v>0.3</v>
      </c>
      <c r="D39" s="14">
        <f>SUM($E$10,$E$18,$E$26,$E$33)+(C39*($E$18+$E$10))</f>
        <v>0</v>
      </c>
      <c r="E39" s="15">
        <f>D39*121%</f>
        <v>0</v>
      </c>
      <c r="F39" s="146"/>
      <c r="H39" s="11"/>
      <c r="I39" s="11" t="e">
        <f>(D39*$I$37)+D39</f>
        <v>#DIV/0!</v>
      </c>
      <c r="J39" s="221"/>
      <c r="K39" s="11" t="e">
        <f>(I39*$K$37)+I39</f>
        <v>#DIV/0!</v>
      </c>
      <c r="L39" s="221"/>
      <c r="M39" s="11" t="e">
        <f>(K39*$M$37)+K39</f>
        <v>#DIV/0!</v>
      </c>
      <c r="N39" s="221"/>
      <c r="O39" s="11" t="e">
        <f>(M39*$O$37)+M39</f>
        <v>#DIV/0!</v>
      </c>
      <c r="P39" s="221"/>
      <c r="Q39" s="11" t="e">
        <f>(O39*$Q$37)+O39</f>
        <v>#DIV/0!</v>
      </c>
    </row>
    <row r="40" spans="1:17" ht="15" customHeight="1">
      <c r="A40" s="221" t="s">
        <v>24</v>
      </c>
      <c r="B40" s="221" t="s">
        <v>100</v>
      </c>
      <c r="C40" s="13">
        <v>0.5</v>
      </c>
      <c r="D40" s="14">
        <f>SUM($E$10,$E$18,$E$26,$E$33)+(C40*($E$18+$E$10))</f>
        <v>0</v>
      </c>
      <c r="E40" s="15">
        <f>D40*121%</f>
        <v>0</v>
      </c>
      <c r="F40" s="146"/>
      <c r="H40" s="221"/>
      <c r="I40" s="11" t="e">
        <f>(D40*$I$37)+D40</f>
        <v>#DIV/0!</v>
      </c>
      <c r="J40" s="221"/>
      <c r="K40" s="11" t="e">
        <f>(I40*$K$37)+I40</f>
        <v>#DIV/0!</v>
      </c>
      <c r="L40" s="221"/>
      <c r="M40" s="11" t="e">
        <f>(K40*$M$37)+K40</f>
        <v>#DIV/0!</v>
      </c>
      <c r="N40" s="221"/>
      <c r="O40" s="11" t="e">
        <f>(M40*$O$37)+M40</f>
        <v>#DIV/0!</v>
      </c>
      <c r="P40" s="221"/>
      <c r="Q40" s="11" t="e">
        <f>(O40*$Q$37)+O40</f>
        <v>#DIV/0!</v>
      </c>
    </row>
    <row r="41" spans="1:17" ht="15" customHeight="1">
      <c r="A41" s="221" t="s">
        <v>101</v>
      </c>
      <c r="B41" s="16" t="s">
        <v>102</v>
      </c>
      <c r="C41" s="13">
        <v>1.5</v>
      </c>
      <c r="D41" s="14">
        <f>SUM($E$10,$E$18,$E$26,$E$33)+(C41*($E$18+$E$10))</f>
        <v>0</v>
      </c>
      <c r="E41" s="15">
        <f>D41*121%</f>
        <v>0</v>
      </c>
      <c r="F41" s="146"/>
      <c r="H41" s="221"/>
      <c r="I41" s="11" t="e">
        <f>(D41*$I$37)+D41</f>
        <v>#DIV/0!</v>
      </c>
      <c r="J41" s="221"/>
      <c r="K41" s="11" t="e">
        <f>(I41*$K$37)+I41</f>
        <v>#DIV/0!</v>
      </c>
      <c r="L41" s="221"/>
      <c r="M41" s="11" t="e">
        <f>(K41*$M$37)+K41</f>
        <v>#DIV/0!</v>
      </c>
      <c r="N41" s="221"/>
      <c r="O41" s="11" t="e">
        <f>(M41*$O$37)+M41</f>
        <v>#DIV/0!</v>
      </c>
      <c r="P41" s="221"/>
      <c r="Q41" s="11" t="e">
        <f>(O41*$Q$37)+O41</f>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sheetData>
  <mergeCells count="36">
    <mergeCell ref="G2:Q2"/>
    <mergeCell ref="H3:I3"/>
    <mergeCell ref="J3:K3"/>
    <mergeCell ref="L3:M3"/>
    <mergeCell ref="N3:O3"/>
    <mergeCell ref="P3:Q3"/>
    <mergeCell ref="A6:B6"/>
    <mergeCell ref="A23:C23"/>
    <mergeCell ref="A7:B7"/>
    <mergeCell ref="A26:C26"/>
    <mergeCell ref="A1:E1"/>
    <mergeCell ref="A21:C21"/>
    <mergeCell ref="A2:E2"/>
    <mergeCell ref="A4:B4"/>
    <mergeCell ref="A15:C15"/>
    <mergeCell ref="A16:C16"/>
    <mergeCell ref="A18:C18"/>
    <mergeCell ref="A20:C20"/>
    <mergeCell ref="A10:C10"/>
    <mergeCell ref="A5:B5"/>
    <mergeCell ref="A9:C9"/>
    <mergeCell ref="A25:C25"/>
    <mergeCell ref="A13:C13"/>
    <mergeCell ref="A8:B8"/>
    <mergeCell ref="A12:C12"/>
    <mergeCell ref="A14:C14"/>
    <mergeCell ref="A22:C22"/>
    <mergeCell ref="A17:C17"/>
    <mergeCell ref="A24:C24"/>
    <mergeCell ref="A30:C30"/>
    <mergeCell ref="A35:D35"/>
    <mergeCell ref="A28:C28"/>
    <mergeCell ref="A31:C31"/>
    <mergeCell ref="A29:C29"/>
    <mergeCell ref="A32:C32"/>
    <mergeCell ref="A33:C33"/>
  </mergeCells>
  <phoneticPr fontId="4" type="noConversion"/>
  <conditionalFormatting sqref="E9">
    <cfRule type="containsText" dxfId="171"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80" orientation="portrait" r:id="rId1"/>
  <headerFooter alignWithMargins="0">
    <oddFooter>&amp;L&amp;F&amp;C&amp;D&amp;R&amp;A</oddFooter>
  </headerFooter>
  <colBreaks count="1" manualBreakCount="1">
    <brk id="5" max="4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0" tint="-0.14999847407452621"/>
    <pageSetUpPr fitToPage="1"/>
  </sheetPr>
  <dimension ref="A1:L153"/>
  <sheetViews>
    <sheetView view="pageBreakPreview" topLeftCell="A10" zoomScaleNormal="100" zoomScaleSheetLayoutView="100" workbookViewId="0">
      <selection activeCell="F11" sqref="F11"/>
    </sheetView>
  </sheetViews>
  <sheetFormatPr defaultColWidth="14.140625" defaultRowHeight="15" customHeight="1"/>
  <cols>
    <col min="1" max="1" width="14.140625" style="5"/>
    <col min="2" max="2" width="31.140625" style="2" bestFit="1" customWidth="1"/>
    <col min="3" max="3" width="14.140625" style="2"/>
    <col min="4" max="4" width="32" style="6" customWidth="1"/>
    <col min="5" max="6" width="23.7109375" style="2" customWidth="1"/>
    <col min="7" max="7" width="14.140625" style="1"/>
    <col min="8" max="16384" width="14.140625" style="2"/>
  </cols>
  <sheetData>
    <row r="1" spans="1:10" s="7" customFormat="1" ht="26.25" customHeight="1">
      <c r="A1" s="313" t="s">
        <v>125</v>
      </c>
      <c r="B1" s="313"/>
      <c r="C1" s="313"/>
      <c r="D1" s="313"/>
      <c r="E1" s="313"/>
      <c r="F1" s="313"/>
    </row>
    <row r="2" spans="1:10" s="7" customFormat="1" ht="15" customHeight="1">
      <c r="A2" s="311" t="s">
        <v>225</v>
      </c>
      <c r="B2" s="312"/>
      <c r="C2" s="312"/>
      <c r="D2" s="312"/>
      <c r="E2" s="312"/>
      <c r="F2" s="312"/>
    </row>
    <row r="3" spans="1:10" s="68" customFormat="1" ht="15" customHeight="1">
      <c r="A3" s="69"/>
      <c r="E3" s="86"/>
      <c r="F3" s="86"/>
      <c r="G3" s="69"/>
      <c r="H3" s="69"/>
    </row>
    <row r="4" spans="1:10" s="68" customFormat="1" ht="15" customHeight="1">
      <c r="A4" s="69"/>
      <c r="E4" s="86"/>
      <c r="F4" s="86"/>
      <c r="G4" s="69"/>
      <c r="H4" s="69"/>
    </row>
    <row r="5" spans="1:10" s="68" customFormat="1" ht="26.25" customHeight="1">
      <c r="A5" s="88" t="s">
        <v>252</v>
      </c>
      <c r="B5" s="88"/>
      <c r="C5" s="88"/>
      <c r="D5" s="88"/>
      <c r="E5" s="87"/>
      <c r="F5" s="87"/>
      <c r="G5" s="69"/>
      <c r="H5" s="69"/>
    </row>
    <row r="6" spans="1:10" s="68" customFormat="1" ht="26.25" customHeight="1" thickBot="1">
      <c r="A6" s="128" t="s">
        <v>34</v>
      </c>
      <c r="B6" s="129" t="s">
        <v>152</v>
      </c>
      <c r="C6" s="126" t="s">
        <v>112</v>
      </c>
      <c r="D6" s="130" t="s">
        <v>71</v>
      </c>
      <c r="E6" s="131" t="s">
        <v>70</v>
      </c>
      <c r="F6" s="24" t="s">
        <v>30</v>
      </c>
      <c r="G6" s="69"/>
      <c r="H6" s="69"/>
    </row>
    <row r="7" spans="1:10" s="68" customFormat="1" ht="15" customHeight="1" thickTop="1">
      <c r="A7" s="133">
        <v>1</v>
      </c>
      <c r="B7" s="132" t="s">
        <v>266</v>
      </c>
      <c r="C7" s="127">
        <v>1</v>
      </c>
      <c r="D7" s="132" t="s">
        <v>265</v>
      </c>
      <c r="E7" s="194" t="s">
        <v>267</v>
      </c>
      <c r="F7" s="194" t="s">
        <v>264</v>
      </c>
      <c r="G7" s="69"/>
      <c r="H7" s="69"/>
    </row>
    <row r="8" spans="1:10" s="68" customFormat="1" ht="15" customHeight="1">
      <c r="A8" s="69"/>
      <c r="E8" s="86"/>
      <c r="F8" s="86"/>
      <c r="G8" s="69"/>
      <c r="H8" s="69"/>
    </row>
    <row r="9" spans="1:10" s="68" customFormat="1" ht="26.25" customHeight="1">
      <c r="A9" s="97" t="s">
        <v>253</v>
      </c>
      <c r="B9" s="87"/>
      <c r="C9" s="87"/>
      <c r="D9" s="87"/>
      <c r="E9" s="86"/>
      <c r="F9" s="86"/>
      <c r="G9" s="69"/>
      <c r="H9" s="69"/>
    </row>
    <row r="10" spans="1:10" s="68" customFormat="1" ht="26.25" customHeight="1">
      <c r="A10" s="96" t="s">
        <v>34</v>
      </c>
      <c r="B10" s="18" t="s">
        <v>110</v>
      </c>
      <c r="C10" s="20" t="s">
        <v>109</v>
      </c>
      <c r="D10" s="96" t="s">
        <v>219</v>
      </c>
      <c r="E10" s="86"/>
      <c r="F10" s="86"/>
      <c r="G10" s="69"/>
      <c r="H10" s="69"/>
    </row>
    <row r="11" spans="1:10" s="68" customFormat="1" ht="15" customHeight="1">
      <c r="A11" s="19">
        <v>1</v>
      </c>
      <c r="B11" s="17" t="s">
        <v>61</v>
      </c>
      <c r="C11" s="98">
        <v>0</v>
      </c>
      <c r="D11" s="175" t="s">
        <v>246</v>
      </c>
      <c r="E11" s="86"/>
      <c r="F11" s="86" t="s">
        <v>723</v>
      </c>
      <c r="G11" s="69"/>
      <c r="H11" s="69"/>
    </row>
    <row r="12" spans="1:10" s="87" customFormat="1" ht="15" customHeight="1">
      <c r="A12" s="19">
        <v>2</v>
      </c>
      <c r="B12" s="17" t="s">
        <v>62</v>
      </c>
      <c r="C12" s="98">
        <v>0</v>
      </c>
      <c r="D12" s="175" t="s">
        <v>249</v>
      </c>
      <c r="G12" s="89"/>
      <c r="H12" s="89"/>
      <c r="I12" s="89"/>
    </row>
    <row r="13" spans="1:10" s="21" customFormat="1" ht="15" customHeight="1">
      <c r="A13" s="19">
        <v>3</v>
      </c>
      <c r="B13" s="17" t="s">
        <v>63</v>
      </c>
      <c r="C13" s="98">
        <v>0</v>
      </c>
      <c r="D13" s="175" t="s">
        <v>246</v>
      </c>
      <c r="E13" s="70"/>
      <c r="F13" s="70"/>
      <c r="G13" s="139"/>
      <c r="H13" s="139"/>
      <c r="I13" s="139"/>
      <c r="J13" s="139"/>
    </row>
    <row r="14" spans="1:10" s="24" customFormat="1" ht="15" customHeight="1">
      <c r="A14" s="19">
        <v>4</v>
      </c>
      <c r="B14" s="17" t="s">
        <v>64</v>
      </c>
      <c r="C14" s="98">
        <v>0</v>
      </c>
      <c r="D14" s="175" t="s">
        <v>249</v>
      </c>
      <c r="E14" s="100"/>
      <c r="F14" s="87"/>
      <c r="G14" s="89"/>
      <c r="H14" s="89"/>
      <c r="I14" s="89"/>
      <c r="J14" s="89"/>
    </row>
    <row r="15" spans="1:10" s="24" customFormat="1" ht="15" customHeight="1">
      <c r="A15" s="19">
        <v>5</v>
      </c>
      <c r="B15" s="17" t="s">
        <v>22</v>
      </c>
      <c r="C15" s="98">
        <v>0</v>
      </c>
      <c r="D15" s="175" t="s">
        <v>247</v>
      </c>
      <c r="E15" s="100"/>
      <c r="F15" s="87"/>
      <c r="G15" s="89"/>
      <c r="H15" s="89"/>
      <c r="I15" s="89"/>
      <c r="J15" s="89"/>
    </row>
    <row r="16" spans="1:10" s="24" customFormat="1" ht="15" customHeight="1">
      <c r="A16" s="19">
        <v>6</v>
      </c>
      <c r="B16" s="17" t="s">
        <v>65</v>
      </c>
      <c r="C16" s="98">
        <v>0</v>
      </c>
      <c r="D16" s="175" t="s">
        <v>246</v>
      </c>
      <c r="E16" s="100"/>
      <c r="F16" s="87"/>
      <c r="G16" s="89"/>
      <c r="H16" s="89"/>
      <c r="I16" s="89"/>
      <c r="J16" s="89"/>
    </row>
    <row r="17" spans="1:10" s="24" customFormat="1" ht="15" customHeight="1">
      <c r="A17" s="19">
        <v>7</v>
      </c>
      <c r="B17" s="17" t="s">
        <v>41</v>
      </c>
      <c r="C17" s="98">
        <v>0</v>
      </c>
      <c r="D17" s="175" t="s">
        <v>246</v>
      </c>
      <c r="E17" s="100"/>
      <c r="F17" s="87"/>
      <c r="G17" s="89"/>
      <c r="H17" s="89"/>
      <c r="I17" s="89"/>
      <c r="J17" s="89"/>
    </row>
    <row r="18" spans="1:10" s="24" customFormat="1" ht="15" customHeight="1">
      <c r="A18" s="19">
        <v>8</v>
      </c>
      <c r="B18" s="17" t="s">
        <v>245</v>
      </c>
      <c r="C18" s="98">
        <v>0</v>
      </c>
      <c r="D18" s="175" t="s">
        <v>248</v>
      </c>
      <c r="E18" s="100"/>
      <c r="F18" s="103"/>
      <c r="G18" s="89"/>
      <c r="H18" s="89"/>
      <c r="I18" s="89"/>
      <c r="J18" s="89"/>
    </row>
    <row r="19" spans="1:10" s="24" customFormat="1" ht="15" customHeight="1">
      <c r="A19" s="19">
        <v>9</v>
      </c>
      <c r="B19" s="17" t="s">
        <v>42</v>
      </c>
      <c r="C19" s="98">
        <v>0</v>
      </c>
      <c r="D19" s="175" t="s">
        <v>246</v>
      </c>
      <c r="E19" s="100"/>
      <c r="F19" s="103"/>
      <c r="G19" s="89"/>
      <c r="H19" s="89"/>
      <c r="I19" s="89"/>
      <c r="J19" s="89"/>
    </row>
    <row r="20" spans="1:10" s="24" customFormat="1" ht="15" customHeight="1">
      <c r="A20" s="19">
        <v>10</v>
      </c>
      <c r="B20" s="17" t="s">
        <v>66</v>
      </c>
      <c r="C20" s="98">
        <v>0</v>
      </c>
      <c r="D20" s="175" t="s">
        <v>246</v>
      </c>
      <c r="E20" s="103"/>
      <c r="F20" s="87"/>
      <c r="G20" s="89"/>
      <c r="H20" s="89"/>
      <c r="I20" s="89"/>
      <c r="J20" s="87"/>
    </row>
    <row r="21" spans="1:10" s="24" customFormat="1" ht="15" customHeight="1">
      <c r="A21" s="19">
        <v>11</v>
      </c>
      <c r="B21" s="17" t="s">
        <v>241</v>
      </c>
      <c r="C21" s="98">
        <v>0</v>
      </c>
      <c r="D21" s="175" t="s">
        <v>248</v>
      </c>
      <c r="E21" s="103"/>
      <c r="F21" s="87"/>
      <c r="G21" s="89"/>
      <c r="H21" s="89"/>
      <c r="I21" s="89"/>
      <c r="J21" s="87"/>
    </row>
    <row r="22" spans="1:10" s="24" customFormat="1" ht="15" customHeight="1">
      <c r="A22" s="19">
        <v>12</v>
      </c>
      <c r="B22" s="17" t="s">
        <v>38</v>
      </c>
      <c r="C22" s="98">
        <v>0</v>
      </c>
      <c r="D22" s="175" t="s">
        <v>246</v>
      </c>
      <c r="E22" s="103"/>
      <c r="F22" s="87"/>
      <c r="G22" s="89"/>
      <c r="H22" s="89"/>
      <c r="I22" s="89"/>
      <c r="J22" s="87"/>
    </row>
    <row r="23" spans="1:10" s="24" customFormat="1" ht="15" customHeight="1">
      <c r="A23" s="19">
        <v>13</v>
      </c>
      <c r="B23" s="17" t="s">
        <v>242</v>
      </c>
      <c r="C23" s="98">
        <v>0</v>
      </c>
      <c r="D23" s="175" t="s">
        <v>248</v>
      </c>
      <c r="E23" s="103"/>
      <c r="F23" s="87"/>
      <c r="G23" s="89"/>
      <c r="H23" s="89"/>
      <c r="I23" s="89"/>
      <c r="J23" s="87"/>
    </row>
    <row r="24" spans="1:10" s="24" customFormat="1" ht="15" customHeight="1">
      <c r="A24" s="19">
        <v>14</v>
      </c>
      <c r="B24" s="17" t="s">
        <v>244</v>
      </c>
      <c r="C24" s="98">
        <v>0</v>
      </c>
      <c r="D24" s="175" t="s">
        <v>248</v>
      </c>
      <c r="E24" s="103"/>
      <c r="F24" s="87"/>
      <c r="G24" s="89"/>
      <c r="H24" s="89"/>
      <c r="I24" s="87"/>
      <c r="J24" s="87"/>
    </row>
    <row r="25" spans="1:10" s="24" customFormat="1" ht="15" customHeight="1">
      <c r="A25" s="19">
        <v>15</v>
      </c>
      <c r="B25" s="17" t="s">
        <v>67</v>
      </c>
      <c r="C25" s="98">
        <v>0</v>
      </c>
      <c r="D25" s="175" t="s">
        <v>246</v>
      </c>
      <c r="E25" s="103"/>
      <c r="F25" s="87"/>
      <c r="G25" s="89"/>
      <c r="H25" s="89"/>
      <c r="I25" s="87"/>
      <c r="J25" s="87"/>
    </row>
    <row r="26" spans="1:10" s="24" customFormat="1" ht="15" customHeight="1">
      <c r="A26" s="19">
        <v>16</v>
      </c>
      <c r="B26" s="17" t="s">
        <v>243</v>
      </c>
      <c r="C26" s="98">
        <v>0</v>
      </c>
      <c r="D26" s="175" t="s">
        <v>248</v>
      </c>
      <c r="E26" s="103"/>
      <c r="F26" s="87"/>
      <c r="G26" s="89"/>
      <c r="H26" s="89"/>
      <c r="I26" s="87"/>
      <c r="J26" s="87"/>
    </row>
    <row r="27" spans="1:10" s="24" customFormat="1" ht="15" customHeight="1">
      <c r="A27" s="19">
        <v>17</v>
      </c>
      <c r="B27" s="17" t="s">
        <v>73</v>
      </c>
      <c r="C27" s="98">
        <v>0</v>
      </c>
      <c r="D27" s="175" t="s">
        <v>250</v>
      </c>
      <c r="E27" s="103"/>
      <c r="F27" s="87"/>
      <c r="G27" s="89"/>
      <c r="H27" s="89"/>
      <c r="I27" s="87"/>
      <c r="J27" s="87"/>
    </row>
    <row r="28" spans="1:10" s="24" customFormat="1" ht="15" customHeight="1">
      <c r="A28" s="19">
        <v>18</v>
      </c>
      <c r="B28" s="17" t="s">
        <v>72</v>
      </c>
      <c r="C28" s="98">
        <v>0</v>
      </c>
      <c r="D28" s="175" t="s">
        <v>250</v>
      </c>
      <c r="E28" s="103"/>
      <c r="F28" s="87"/>
      <c r="G28" s="89"/>
      <c r="H28" s="89"/>
      <c r="I28" s="87"/>
      <c r="J28" s="87"/>
    </row>
    <row r="29" spans="1:10" s="24" customFormat="1" ht="15" customHeight="1">
      <c r="A29" s="19">
        <v>19</v>
      </c>
      <c r="B29" s="17" t="s">
        <v>68</v>
      </c>
      <c r="C29" s="98">
        <v>0</v>
      </c>
      <c r="D29" s="175" t="s">
        <v>246</v>
      </c>
      <c r="E29" s="103"/>
      <c r="F29" s="87"/>
      <c r="G29" s="89"/>
      <c r="H29" s="89"/>
      <c r="I29" s="87"/>
      <c r="J29" s="87"/>
    </row>
    <row r="30" spans="1:10" s="24" customFormat="1" ht="15" customHeight="1">
      <c r="A30" s="19">
        <v>20</v>
      </c>
      <c r="B30" s="17" t="s">
        <v>69</v>
      </c>
      <c r="C30" s="99"/>
      <c r="D30" s="99"/>
      <c r="E30" s="103"/>
      <c r="F30" s="87"/>
      <c r="G30" s="89"/>
      <c r="H30" s="89"/>
      <c r="I30" s="87"/>
      <c r="J30" s="87"/>
    </row>
    <row r="31" spans="1:10" s="24" customFormat="1" ht="15" customHeight="1">
      <c r="A31" s="87"/>
      <c r="B31" s="87"/>
      <c r="C31" s="87"/>
      <c r="D31" s="87"/>
      <c r="E31" s="103"/>
      <c r="F31" s="87"/>
      <c r="G31" s="89"/>
      <c r="H31" s="89"/>
      <c r="I31" s="87"/>
      <c r="J31" s="87"/>
    </row>
    <row r="32" spans="1:10" s="24" customFormat="1" ht="26.25" customHeight="1">
      <c r="A32" s="88" t="s">
        <v>254</v>
      </c>
      <c r="B32" s="88"/>
      <c r="C32" s="87"/>
      <c r="D32" s="87"/>
      <c r="E32" s="103"/>
      <c r="F32" s="87"/>
      <c r="G32" s="89"/>
      <c r="H32" s="89"/>
      <c r="I32" s="87"/>
      <c r="J32" s="87"/>
    </row>
    <row r="33" spans="1:12" s="24" customFormat="1" ht="26.25" customHeight="1">
      <c r="A33" s="22" t="s">
        <v>34</v>
      </c>
      <c r="B33" s="134" t="s">
        <v>138</v>
      </c>
      <c r="C33" s="23" t="s">
        <v>112</v>
      </c>
      <c r="D33" s="20" t="s">
        <v>111</v>
      </c>
      <c r="E33" s="144" t="s">
        <v>218</v>
      </c>
      <c r="F33" s="145" t="s">
        <v>178</v>
      </c>
      <c r="G33" s="89"/>
      <c r="H33" s="89"/>
      <c r="I33" s="89"/>
      <c r="J33" s="89"/>
      <c r="K33" s="87"/>
      <c r="L33" s="87"/>
    </row>
    <row r="34" spans="1:12" s="24" customFormat="1" ht="15" customHeight="1">
      <c r="A34" s="101" t="s">
        <v>114</v>
      </c>
      <c r="B34" s="135" t="s">
        <v>139</v>
      </c>
      <c r="C34" s="102">
        <v>1</v>
      </c>
      <c r="D34" s="7" t="s">
        <v>117</v>
      </c>
      <c r="E34" s="7"/>
      <c r="F34" s="143"/>
      <c r="G34" s="89"/>
      <c r="H34" s="89"/>
      <c r="I34" s="89"/>
      <c r="J34" s="89"/>
      <c r="K34" s="87"/>
      <c r="L34" s="87"/>
    </row>
    <row r="35" spans="1:12" s="24" customFormat="1" ht="15" customHeight="1">
      <c r="A35" s="101" t="s">
        <v>113</v>
      </c>
      <c r="B35" s="135" t="s">
        <v>39</v>
      </c>
      <c r="C35" s="102">
        <v>1</v>
      </c>
      <c r="D35" s="7" t="s">
        <v>118</v>
      </c>
      <c r="E35" s="7"/>
      <c r="F35" s="143"/>
      <c r="G35" s="89"/>
      <c r="H35" s="89"/>
      <c r="I35" s="89"/>
      <c r="J35" s="89"/>
      <c r="K35" s="87"/>
      <c r="L35" s="87"/>
    </row>
    <row r="36" spans="1:12" s="24" customFormat="1" ht="15" customHeight="1">
      <c r="A36" s="101" t="s">
        <v>115</v>
      </c>
      <c r="B36" s="135" t="s">
        <v>135</v>
      </c>
      <c r="C36" s="102">
        <v>1</v>
      </c>
      <c r="D36" s="7" t="s">
        <v>119</v>
      </c>
      <c r="E36" s="7"/>
      <c r="F36" s="143"/>
      <c r="G36" s="89"/>
      <c r="H36" s="89"/>
      <c r="I36" s="89"/>
      <c r="J36" s="89"/>
      <c r="K36" s="87"/>
      <c r="L36" s="87"/>
    </row>
    <row r="37" spans="1:12" s="24" customFormat="1" ht="15" customHeight="1">
      <c r="A37" s="101" t="s">
        <v>116</v>
      </c>
      <c r="B37" s="135" t="s">
        <v>136</v>
      </c>
      <c r="C37" s="102">
        <v>1</v>
      </c>
      <c r="D37" s="7" t="s">
        <v>120</v>
      </c>
      <c r="E37" s="7"/>
      <c r="F37" s="143"/>
      <c r="G37" s="89"/>
      <c r="H37" s="89"/>
      <c r="I37" s="89"/>
      <c r="J37" s="89"/>
      <c r="K37" s="87"/>
      <c r="L37" s="87"/>
    </row>
    <row r="38" spans="1:12" s="24" customFormat="1" ht="15" customHeight="1">
      <c r="A38" s="87"/>
      <c r="B38" s="87"/>
      <c r="C38" s="87"/>
      <c r="D38" s="87"/>
      <c r="E38" s="103"/>
      <c r="F38" s="87"/>
      <c r="G38" s="89"/>
      <c r="H38" s="89"/>
      <c r="I38" s="87"/>
      <c r="J38" s="87"/>
    </row>
    <row r="39" spans="1:12" s="81" customFormat="1" ht="26.25" customHeight="1">
      <c r="A39" s="88" t="s">
        <v>121</v>
      </c>
      <c r="B39" s="87"/>
      <c r="C39" s="87"/>
      <c r="D39" s="89"/>
      <c r="G39" s="90"/>
    </row>
    <row r="40" spans="1:12" ht="26.25" customHeight="1">
      <c r="A40" s="22" t="s">
        <v>34</v>
      </c>
      <c r="B40" s="20" t="s">
        <v>122</v>
      </c>
      <c r="C40" s="23" t="s">
        <v>112</v>
      </c>
      <c r="D40" s="81"/>
      <c r="E40" s="81"/>
      <c r="F40" s="140"/>
      <c r="G40" s="81"/>
      <c r="H40" s="81"/>
    </row>
    <row r="41" spans="1:12" ht="15" customHeight="1">
      <c r="A41" s="50" t="s">
        <v>19</v>
      </c>
      <c r="B41" s="51" t="s">
        <v>29</v>
      </c>
      <c r="C41" s="102">
        <v>1</v>
      </c>
      <c r="D41" s="81"/>
      <c r="E41" s="81"/>
      <c r="F41" s="140"/>
      <c r="G41" s="81"/>
      <c r="H41" s="81"/>
    </row>
    <row r="42" spans="1:12" ht="15" customHeight="1">
      <c r="A42" s="52" t="s">
        <v>2</v>
      </c>
      <c r="B42" s="53" t="s">
        <v>1</v>
      </c>
      <c r="C42" s="102">
        <v>1</v>
      </c>
      <c r="D42" s="81"/>
      <c r="E42" s="81"/>
      <c r="F42" s="140"/>
      <c r="G42" s="81"/>
      <c r="H42" s="81"/>
    </row>
    <row r="43" spans="1:12" ht="15" customHeight="1">
      <c r="A43" s="50" t="s">
        <v>20</v>
      </c>
      <c r="B43" s="51" t="s">
        <v>21</v>
      </c>
      <c r="C43" s="102">
        <v>1</v>
      </c>
      <c r="D43" s="81"/>
      <c r="E43" s="81"/>
      <c r="F43" s="140"/>
      <c r="G43" s="81"/>
      <c r="H43" s="81"/>
    </row>
    <row r="44" spans="1:12" ht="15" customHeight="1">
      <c r="A44" s="52" t="s">
        <v>18</v>
      </c>
      <c r="B44" s="53" t="s">
        <v>12</v>
      </c>
      <c r="C44" s="102">
        <v>1</v>
      </c>
      <c r="D44" s="81"/>
      <c r="E44" s="81"/>
      <c r="F44" s="140"/>
      <c r="G44" s="81"/>
      <c r="H44" s="81"/>
    </row>
    <row r="45" spans="1:12" ht="15" customHeight="1">
      <c r="A45" s="50" t="s">
        <v>123</v>
      </c>
      <c r="B45" s="51" t="s">
        <v>124</v>
      </c>
      <c r="C45" s="102">
        <v>1</v>
      </c>
      <c r="D45" s="81"/>
      <c r="E45" s="81"/>
      <c r="F45" s="140"/>
      <c r="G45" s="81"/>
      <c r="H45" s="81"/>
    </row>
    <row r="46" spans="1:12" ht="15" customHeight="1">
      <c r="A46" s="52" t="s">
        <v>17</v>
      </c>
      <c r="B46" s="53" t="s">
        <v>14</v>
      </c>
      <c r="C46" s="102">
        <v>1</v>
      </c>
      <c r="D46" s="81"/>
      <c r="E46" s="81"/>
      <c r="F46" s="140"/>
      <c r="G46" s="81"/>
      <c r="H46" s="81"/>
    </row>
    <row r="47" spans="1:12" ht="15" customHeight="1">
      <c r="A47" s="50" t="s">
        <v>15</v>
      </c>
      <c r="B47" s="51" t="s">
        <v>13</v>
      </c>
      <c r="C47" s="102">
        <v>1</v>
      </c>
      <c r="D47" s="81"/>
      <c r="E47" s="81"/>
      <c r="F47" s="140"/>
      <c r="G47" s="81"/>
      <c r="H47" s="81"/>
    </row>
    <row r="48" spans="1:12" ht="15" customHeight="1">
      <c r="A48" s="52" t="s">
        <v>25</v>
      </c>
      <c r="B48" s="53" t="s">
        <v>28</v>
      </c>
      <c r="C48" s="102">
        <v>1</v>
      </c>
      <c r="D48" s="81"/>
      <c r="E48" s="81"/>
      <c r="F48" s="140"/>
      <c r="G48" s="81"/>
      <c r="H48" s="81"/>
    </row>
    <row r="49" spans="1:10" ht="15" customHeight="1">
      <c r="A49" s="50" t="s">
        <v>26</v>
      </c>
      <c r="B49" s="51" t="s">
        <v>27</v>
      </c>
      <c r="C49" s="102">
        <v>1</v>
      </c>
      <c r="D49" s="81"/>
      <c r="E49" s="81"/>
      <c r="F49" s="140"/>
      <c r="G49" s="81"/>
      <c r="H49" s="81"/>
    </row>
    <row r="50" spans="1:10" ht="15" customHeight="1">
      <c r="A50" s="52" t="s">
        <v>16</v>
      </c>
      <c r="B50" s="53" t="s">
        <v>0</v>
      </c>
      <c r="C50" s="102">
        <v>1</v>
      </c>
      <c r="D50" s="81"/>
      <c r="E50" s="81"/>
      <c r="F50" s="140"/>
      <c r="G50" s="81"/>
      <c r="H50" s="81"/>
    </row>
    <row r="51" spans="1:10" ht="15" customHeight="1">
      <c r="A51" s="104"/>
      <c r="B51" s="89"/>
      <c r="C51" s="89"/>
      <c r="D51" s="89"/>
      <c r="E51" s="81"/>
      <c r="F51" s="81"/>
      <c r="G51" s="90"/>
      <c r="H51" s="81"/>
      <c r="I51" s="81"/>
      <c r="J51" s="81"/>
    </row>
    <row r="52" spans="1:10" ht="15" customHeight="1">
      <c r="A52" s="141"/>
      <c r="B52" s="81"/>
      <c r="C52" s="81"/>
      <c r="D52" s="142"/>
      <c r="E52" s="81"/>
      <c r="F52" s="81"/>
      <c r="G52" s="90"/>
      <c r="H52" s="81"/>
      <c r="I52" s="81"/>
      <c r="J52" s="81"/>
    </row>
    <row r="53" spans="1:10" ht="15" customHeight="1">
      <c r="A53" s="141"/>
      <c r="B53" s="81"/>
      <c r="C53" s="81"/>
      <c r="D53" s="142"/>
      <c r="E53" s="81"/>
      <c r="F53" s="81"/>
      <c r="G53" s="90"/>
      <c r="H53" s="81"/>
      <c r="I53" s="81"/>
      <c r="J53" s="81"/>
    </row>
    <row r="54" spans="1:10" ht="15" customHeight="1">
      <c r="A54" s="141"/>
      <c r="B54" s="81"/>
      <c r="C54" s="81"/>
      <c r="D54" s="142"/>
      <c r="E54" s="81"/>
      <c r="F54" s="81"/>
      <c r="G54" s="90"/>
      <c r="H54" s="81"/>
      <c r="I54" s="81"/>
      <c r="J54" s="81"/>
    </row>
    <row r="55" spans="1:10" ht="15" customHeight="1">
      <c r="A55" s="141"/>
      <c r="B55" s="81"/>
      <c r="C55" s="81"/>
      <c r="D55" s="142"/>
      <c r="E55" s="81"/>
      <c r="F55" s="81"/>
      <c r="G55" s="90"/>
      <c r="H55" s="81"/>
      <c r="I55" s="81"/>
      <c r="J55" s="81"/>
    </row>
    <row r="56" spans="1:10" ht="15" customHeight="1">
      <c r="F56" s="81"/>
      <c r="G56" s="90"/>
      <c r="H56" s="81"/>
      <c r="I56" s="81"/>
      <c r="J56" s="81"/>
    </row>
    <row r="57" spans="1:10" ht="15" customHeight="1">
      <c r="F57" s="81"/>
      <c r="G57" s="90"/>
      <c r="H57" s="81"/>
      <c r="I57" s="81"/>
      <c r="J57" s="81"/>
    </row>
    <row r="58" spans="1:10" ht="15" customHeight="1">
      <c r="F58" s="81"/>
      <c r="G58" s="90"/>
      <c r="H58" s="81"/>
      <c r="I58" s="81"/>
      <c r="J58" s="81"/>
    </row>
    <row r="59" spans="1:10" ht="15" customHeight="1">
      <c r="F59" s="81"/>
      <c r="G59" s="90"/>
      <c r="H59" s="81"/>
      <c r="I59" s="81"/>
      <c r="J59" s="81"/>
    </row>
    <row r="60" spans="1:10" ht="15" customHeight="1">
      <c r="F60" s="81"/>
      <c r="G60" s="90"/>
      <c r="H60" s="81"/>
      <c r="I60" s="81"/>
      <c r="J60" s="81"/>
    </row>
    <row r="61" spans="1:10" ht="15" customHeight="1">
      <c r="F61" s="81"/>
      <c r="G61" s="90"/>
      <c r="H61" s="81"/>
      <c r="I61" s="81"/>
      <c r="J61" s="81"/>
    </row>
    <row r="62" spans="1:10" ht="15" customHeight="1">
      <c r="F62" s="81"/>
      <c r="G62" s="90"/>
      <c r="H62" s="81"/>
      <c r="I62" s="81"/>
      <c r="J62" s="81"/>
    </row>
    <row r="63" spans="1:10" ht="15" customHeight="1">
      <c r="F63" s="81"/>
      <c r="G63" s="90"/>
      <c r="H63" s="81"/>
      <c r="I63" s="81"/>
      <c r="J63" s="81"/>
    </row>
    <row r="64" spans="1:10" ht="15" customHeight="1">
      <c r="F64" s="81"/>
      <c r="G64" s="90"/>
      <c r="H64" s="81"/>
      <c r="I64" s="81"/>
      <c r="J64" s="81"/>
    </row>
    <row r="65" spans="6:10" ht="15" customHeight="1">
      <c r="F65" s="81"/>
      <c r="G65" s="90"/>
      <c r="H65" s="81"/>
      <c r="I65" s="81"/>
      <c r="J65" s="81"/>
    </row>
    <row r="66" spans="6:10" ht="15" customHeight="1">
      <c r="F66" s="81"/>
      <c r="G66" s="90"/>
      <c r="H66" s="81"/>
      <c r="I66" s="81"/>
      <c r="J66" s="81"/>
    </row>
    <row r="67" spans="6:10" ht="15" customHeight="1">
      <c r="F67" s="81"/>
      <c r="G67" s="90"/>
      <c r="H67" s="81"/>
      <c r="I67" s="81"/>
      <c r="J67" s="81"/>
    </row>
    <row r="68" spans="6:10" ht="15" customHeight="1">
      <c r="F68" s="81"/>
      <c r="G68" s="90"/>
      <c r="H68" s="81"/>
      <c r="I68" s="81"/>
      <c r="J68" s="81"/>
    </row>
    <row r="69" spans="6:10" ht="15" customHeight="1">
      <c r="F69" s="81"/>
      <c r="G69" s="90"/>
      <c r="H69" s="81"/>
      <c r="I69" s="81"/>
      <c r="J69" s="81"/>
    </row>
    <row r="70" spans="6:10" ht="15" customHeight="1">
      <c r="F70" s="81"/>
      <c r="G70" s="90"/>
      <c r="H70" s="81"/>
      <c r="I70" s="81"/>
      <c r="J70" s="81"/>
    </row>
    <row r="71" spans="6:10" ht="15" customHeight="1">
      <c r="F71" s="81"/>
      <c r="G71" s="90"/>
      <c r="H71" s="81"/>
      <c r="I71" s="81"/>
      <c r="J71" s="81"/>
    </row>
    <row r="72" spans="6:10" ht="15" customHeight="1">
      <c r="F72" s="81"/>
      <c r="G72" s="90"/>
      <c r="H72" s="81"/>
      <c r="I72" s="81"/>
      <c r="J72" s="81"/>
    </row>
    <row r="73" spans="6:10" ht="15" customHeight="1">
      <c r="F73" s="81"/>
      <c r="G73" s="90"/>
      <c r="H73" s="81"/>
      <c r="I73" s="81"/>
      <c r="J73" s="81"/>
    </row>
    <row r="74" spans="6:10" ht="15" customHeight="1">
      <c r="F74" s="81"/>
      <c r="G74" s="90"/>
      <c r="H74" s="81"/>
      <c r="I74" s="81"/>
      <c r="J74" s="81"/>
    </row>
    <row r="75" spans="6:10" ht="15" customHeight="1">
      <c r="F75" s="81"/>
      <c r="G75" s="90"/>
      <c r="H75" s="81"/>
      <c r="I75" s="81"/>
      <c r="J75" s="81"/>
    </row>
    <row r="76" spans="6:10" ht="15" customHeight="1">
      <c r="F76" s="81"/>
      <c r="G76" s="90"/>
      <c r="H76" s="81"/>
      <c r="I76" s="81"/>
      <c r="J76" s="81"/>
    </row>
    <row r="77" spans="6:10" ht="15" customHeight="1">
      <c r="F77" s="81"/>
      <c r="G77" s="90"/>
      <c r="H77" s="81"/>
      <c r="I77" s="81"/>
      <c r="J77" s="81"/>
    </row>
    <row r="78" spans="6:10" ht="15" customHeight="1">
      <c r="F78" s="81"/>
      <c r="G78" s="90"/>
      <c r="H78" s="81"/>
      <c r="I78" s="81"/>
      <c r="J78" s="81"/>
    </row>
    <row r="79" spans="6:10" ht="15" customHeight="1">
      <c r="F79" s="81"/>
      <c r="G79" s="90"/>
      <c r="H79" s="81"/>
      <c r="I79" s="81"/>
      <c r="J79" s="81"/>
    </row>
    <row r="80" spans="6:10" ht="15" customHeight="1">
      <c r="F80" s="81"/>
      <c r="G80" s="90"/>
      <c r="H80" s="81"/>
      <c r="I80" s="81"/>
      <c r="J80" s="81"/>
    </row>
    <row r="81" spans="6:10" ht="15" customHeight="1">
      <c r="F81" s="81"/>
      <c r="G81" s="90"/>
      <c r="H81" s="81"/>
      <c r="I81" s="81"/>
      <c r="J81" s="81"/>
    </row>
    <row r="82" spans="6:10" ht="15" customHeight="1">
      <c r="F82" s="81"/>
      <c r="G82" s="90"/>
      <c r="H82" s="81"/>
      <c r="I82" s="81"/>
      <c r="J82" s="81"/>
    </row>
    <row r="83" spans="6:10" ht="15" customHeight="1">
      <c r="F83" s="81"/>
      <c r="G83" s="90"/>
      <c r="H83" s="81"/>
      <c r="I83" s="81"/>
      <c r="J83" s="81"/>
    </row>
    <row r="84" spans="6:10" ht="15" customHeight="1">
      <c r="F84" s="81"/>
      <c r="G84" s="90"/>
      <c r="H84" s="81"/>
      <c r="I84" s="81"/>
      <c r="J84" s="81"/>
    </row>
    <row r="85" spans="6:10" ht="15" customHeight="1">
      <c r="F85" s="81"/>
      <c r="G85" s="90"/>
      <c r="H85" s="81"/>
      <c r="I85" s="81"/>
      <c r="J85" s="81"/>
    </row>
    <row r="86" spans="6:10" ht="15" customHeight="1">
      <c r="F86" s="81"/>
      <c r="G86" s="90"/>
      <c r="H86" s="81"/>
      <c r="I86" s="81"/>
      <c r="J86" s="81"/>
    </row>
    <row r="87" spans="6:10" ht="15" customHeight="1">
      <c r="F87" s="81"/>
      <c r="G87" s="90"/>
      <c r="H87" s="81"/>
      <c r="I87" s="81"/>
      <c r="J87" s="81"/>
    </row>
    <row r="88" spans="6:10" ht="15" customHeight="1">
      <c r="F88" s="81"/>
      <c r="G88" s="90"/>
      <c r="H88" s="81"/>
      <c r="I88" s="81"/>
      <c r="J88" s="81"/>
    </row>
    <row r="89" spans="6:10" ht="15" customHeight="1">
      <c r="F89" s="81"/>
      <c r="G89" s="90"/>
      <c r="H89" s="81"/>
      <c r="I89" s="81"/>
      <c r="J89" s="81"/>
    </row>
    <row r="90" spans="6:10" ht="15" customHeight="1">
      <c r="F90" s="81"/>
      <c r="G90" s="90"/>
      <c r="H90" s="81"/>
      <c r="I90" s="81"/>
      <c r="J90" s="81"/>
    </row>
    <row r="91" spans="6:10" ht="15" customHeight="1">
      <c r="F91" s="81"/>
      <c r="G91" s="90"/>
      <c r="H91" s="81"/>
      <c r="I91" s="81"/>
      <c r="J91" s="81"/>
    </row>
    <row r="92" spans="6:10" ht="15" customHeight="1">
      <c r="F92" s="81"/>
      <c r="G92" s="90"/>
      <c r="H92" s="81"/>
      <c r="I92" s="81"/>
      <c r="J92" s="81"/>
    </row>
    <row r="93" spans="6:10" ht="15" customHeight="1">
      <c r="F93" s="81"/>
      <c r="G93" s="90"/>
      <c r="H93" s="81"/>
      <c r="I93" s="81"/>
      <c r="J93" s="81"/>
    </row>
    <row r="94" spans="6:10" ht="15" customHeight="1">
      <c r="F94" s="81"/>
      <c r="G94" s="90"/>
      <c r="H94" s="81"/>
      <c r="I94" s="81"/>
      <c r="J94" s="81"/>
    </row>
    <row r="95" spans="6:10" ht="15" customHeight="1">
      <c r="F95" s="81"/>
      <c r="G95" s="90"/>
      <c r="H95" s="81"/>
      <c r="I95" s="81"/>
      <c r="J95" s="81"/>
    </row>
    <row r="96" spans="6:10" ht="15" customHeight="1">
      <c r="F96" s="81"/>
      <c r="G96" s="90"/>
      <c r="H96" s="81"/>
      <c r="I96" s="81"/>
      <c r="J96" s="81"/>
    </row>
    <row r="97" spans="6:10" ht="15" customHeight="1">
      <c r="F97" s="81"/>
      <c r="G97" s="90"/>
      <c r="H97" s="81"/>
      <c r="I97" s="81"/>
      <c r="J97" s="81"/>
    </row>
    <row r="98" spans="6:10" ht="15" customHeight="1">
      <c r="F98" s="81"/>
      <c r="G98" s="90"/>
      <c r="H98" s="81"/>
      <c r="I98" s="81"/>
      <c r="J98" s="81"/>
    </row>
    <row r="99" spans="6:10" ht="15" customHeight="1">
      <c r="F99" s="81"/>
      <c r="G99" s="90"/>
      <c r="H99" s="81"/>
      <c r="I99" s="81"/>
      <c r="J99" s="81"/>
    </row>
    <row r="100" spans="6:10" ht="15" customHeight="1">
      <c r="F100" s="81"/>
      <c r="G100" s="90"/>
      <c r="H100" s="81"/>
      <c r="I100" s="81"/>
      <c r="J100" s="81"/>
    </row>
    <row r="101" spans="6:10" ht="15" customHeight="1">
      <c r="F101" s="81"/>
      <c r="G101" s="90"/>
      <c r="H101" s="81"/>
      <c r="I101" s="81"/>
      <c r="J101" s="81"/>
    </row>
    <row r="102" spans="6:10" ht="15" customHeight="1">
      <c r="F102" s="81"/>
      <c r="G102" s="90"/>
      <c r="H102" s="81"/>
      <c r="I102" s="81"/>
      <c r="J102" s="81"/>
    </row>
    <row r="103" spans="6:10" ht="15" customHeight="1">
      <c r="F103" s="81"/>
      <c r="G103" s="90"/>
      <c r="H103" s="81"/>
      <c r="I103" s="81"/>
      <c r="J103" s="81"/>
    </row>
    <row r="104" spans="6:10" ht="15" customHeight="1">
      <c r="F104" s="81"/>
      <c r="G104" s="90"/>
      <c r="H104" s="81"/>
      <c r="I104" s="81"/>
      <c r="J104" s="81"/>
    </row>
    <row r="105" spans="6:10" ht="15" customHeight="1">
      <c r="F105" s="81"/>
      <c r="G105" s="90"/>
      <c r="H105" s="81"/>
      <c r="I105" s="81"/>
      <c r="J105" s="81"/>
    </row>
    <row r="106" spans="6:10" ht="15" customHeight="1">
      <c r="F106" s="81"/>
      <c r="G106" s="90"/>
      <c r="H106" s="81"/>
      <c r="I106" s="81"/>
      <c r="J106" s="81"/>
    </row>
    <row r="107" spans="6:10" ht="15" customHeight="1">
      <c r="F107" s="81"/>
      <c r="G107" s="90"/>
      <c r="H107" s="81"/>
      <c r="I107" s="81"/>
      <c r="J107" s="81"/>
    </row>
    <row r="108" spans="6:10" ht="15" customHeight="1">
      <c r="F108" s="81"/>
      <c r="G108" s="90"/>
      <c r="H108" s="81"/>
      <c r="I108" s="81"/>
      <c r="J108" s="81"/>
    </row>
    <row r="109" spans="6:10" ht="15" customHeight="1">
      <c r="F109" s="81"/>
      <c r="G109" s="90"/>
      <c r="H109" s="81"/>
      <c r="I109" s="81"/>
      <c r="J109" s="81"/>
    </row>
    <row r="110" spans="6:10" ht="15" customHeight="1">
      <c r="F110" s="81"/>
      <c r="G110" s="90"/>
      <c r="H110" s="81"/>
      <c r="I110" s="81"/>
      <c r="J110" s="81"/>
    </row>
    <row r="111" spans="6:10" ht="15" customHeight="1">
      <c r="F111" s="81"/>
      <c r="G111" s="90"/>
      <c r="H111" s="81"/>
      <c r="I111" s="81"/>
      <c r="J111" s="81"/>
    </row>
    <row r="112" spans="6:10" ht="15" customHeight="1">
      <c r="F112" s="81"/>
      <c r="G112" s="90"/>
      <c r="H112" s="81"/>
      <c r="I112" s="81"/>
      <c r="J112" s="81"/>
    </row>
    <row r="113" spans="6:10" ht="15" customHeight="1">
      <c r="F113" s="81"/>
      <c r="G113" s="90"/>
      <c r="H113" s="81"/>
      <c r="I113" s="81"/>
      <c r="J113" s="81"/>
    </row>
    <row r="114" spans="6:10" ht="15" customHeight="1">
      <c r="F114" s="81"/>
      <c r="G114" s="90"/>
      <c r="H114" s="81"/>
      <c r="I114" s="81"/>
      <c r="J114" s="81"/>
    </row>
    <row r="115" spans="6:10" ht="15" customHeight="1">
      <c r="F115" s="81"/>
      <c r="G115" s="90"/>
      <c r="H115" s="81"/>
      <c r="I115" s="81"/>
      <c r="J115" s="81"/>
    </row>
    <row r="116" spans="6:10" ht="15" customHeight="1">
      <c r="F116" s="81"/>
      <c r="G116" s="90"/>
      <c r="H116" s="81"/>
      <c r="I116" s="81"/>
      <c r="J116" s="81"/>
    </row>
    <row r="117" spans="6:10" ht="15" customHeight="1">
      <c r="F117" s="81"/>
      <c r="G117" s="90"/>
      <c r="H117" s="81"/>
      <c r="I117" s="81"/>
      <c r="J117" s="81"/>
    </row>
    <row r="118" spans="6:10" ht="15" customHeight="1">
      <c r="F118" s="81"/>
      <c r="G118" s="90"/>
      <c r="H118" s="81"/>
      <c r="I118" s="81"/>
      <c r="J118" s="81"/>
    </row>
    <row r="119" spans="6:10" ht="15" customHeight="1">
      <c r="F119" s="81"/>
      <c r="G119" s="90"/>
      <c r="H119" s="81"/>
      <c r="I119" s="81"/>
      <c r="J119" s="81"/>
    </row>
    <row r="120" spans="6:10" ht="15" customHeight="1">
      <c r="F120" s="81"/>
      <c r="G120" s="90"/>
      <c r="H120" s="81"/>
      <c r="I120" s="81"/>
      <c r="J120" s="81"/>
    </row>
    <row r="121" spans="6:10" ht="15" customHeight="1">
      <c r="F121" s="81"/>
      <c r="G121" s="90"/>
      <c r="H121" s="81"/>
      <c r="I121" s="81"/>
      <c r="J121" s="81"/>
    </row>
    <row r="122" spans="6:10" ht="15" customHeight="1">
      <c r="F122" s="81"/>
      <c r="G122" s="90"/>
      <c r="H122" s="81"/>
      <c r="I122" s="81"/>
      <c r="J122" s="81"/>
    </row>
    <row r="123" spans="6:10" ht="15" customHeight="1">
      <c r="F123" s="81"/>
      <c r="G123" s="90"/>
      <c r="H123" s="81"/>
      <c r="I123" s="81"/>
      <c r="J123" s="81"/>
    </row>
    <row r="124" spans="6:10" ht="15" customHeight="1">
      <c r="F124" s="81"/>
      <c r="G124" s="90"/>
      <c r="H124" s="81"/>
      <c r="I124" s="81"/>
      <c r="J124" s="81"/>
    </row>
    <row r="125" spans="6:10" ht="15" customHeight="1">
      <c r="F125" s="81"/>
      <c r="G125" s="90"/>
      <c r="H125" s="81"/>
      <c r="I125" s="81"/>
      <c r="J125" s="81"/>
    </row>
    <row r="126" spans="6:10" ht="15" customHeight="1">
      <c r="F126" s="81"/>
      <c r="G126" s="90"/>
      <c r="H126" s="81"/>
      <c r="I126" s="81"/>
      <c r="J126" s="81"/>
    </row>
    <row r="127" spans="6:10" ht="15" customHeight="1">
      <c r="F127" s="81"/>
      <c r="G127" s="90"/>
      <c r="H127" s="81"/>
      <c r="I127" s="81"/>
      <c r="J127" s="81"/>
    </row>
    <row r="128" spans="6:10" ht="15" customHeight="1">
      <c r="F128" s="81"/>
      <c r="G128" s="90"/>
      <c r="H128" s="81"/>
      <c r="I128" s="81"/>
      <c r="J128" s="81"/>
    </row>
    <row r="129" spans="6:10" ht="15" customHeight="1">
      <c r="F129" s="81"/>
      <c r="G129" s="90"/>
      <c r="H129" s="81"/>
      <c r="I129" s="81"/>
      <c r="J129" s="81"/>
    </row>
    <row r="130" spans="6:10" ht="15" customHeight="1">
      <c r="F130" s="81"/>
      <c r="G130" s="90"/>
      <c r="H130" s="81"/>
      <c r="I130" s="81"/>
      <c r="J130" s="81"/>
    </row>
    <row r="131" spans="6:10" ht="15" customHeight="1">
      <c r="F131" s="81"/>
      <c r="G131" s="90"/>
      <c r="H131" s="81"/>
      <c r="I131" s="81"/>
      <c r="J131" s="81"/>
    </row>
    <row r="132" spans="6:10" ht="15" customHeight="1">
      <c r="F132" s="81"/>
      <c r="G132" s="90"/>
      <c r="H132" s="81"/>
      <c r="I132" s="81"/>
      <c r="J132" s="81"/>
    </row>
    <row r="133" spans="6:10" ht="15" customHeight="1">
      <c r="F133" s="81"/>
      <c r="G133" s="90"/>
      <c r="H133" s="81"/>
      <c r="I133" s="81"/>
      <c r="J133" s="81"/>
    </row>
    <row r="134" spans="6:10" ht="15" customHeight="1">
      <c r="F134" s="81"/>
      <c r="G134" s="90"/>
      <c r="H134" s="81"/>
      <c r="I134" s="81"/>
      <c r="J134" s="81"/>
    </row>
    <row r="135" spans="6:10" ht="15" customHeight="1">
      <c r="F135" s="81"/>
      <c r="G135" s="90"/>
      <c r="H135" s="81"/>
      <c r="I135" s="81"/>
      <c r="J135" s="81"/>
    </row>
    <row r="136" spans="6:10" ht="15" customHeight="1">
      <c r="F136" s="81"/>
      <c r="G136" s="90"/>
      <c r="H136" s="81"/>
      <c r="I136" s="81"/>
      <c r="J136" s="81"/>
    </row>
    <row r="137" spans="6:10" ht="15" customHeight="1">
      <c r="F137" s="81"/>
      <c r="G137" s="90"/>
      <c r="H137" s="81"/>
      <c r="I137" s="81"/>
      <c r="J137" s="81"/>
    </row>
    <row r="138" spans="6:10" ht="15" customHeight="1">
      <c r="F138" s="81"/>
      <c r="G138" s="90"/>
      <c r="H138" s="81"/>
      <c r="I138" s="81"/>
      <c r="J138" s="81"/>
    </row>
    <row r="139" spans="6:10" ht="15" customHeight="1">
      <c r="F139" s="81"/>
      <c r="G139" s="90"/>
      <c r="H139" s="81"/>
      <c r="I139" s="81"/>
      <c r="J139" s="81"/>
    </row>
    <row r="140" spans="6:10" ht="15" customHeight="1">
      <c r="F140" s="81"/>
      <c r="G140" s="90"/>
      <c r="H140" s="81"/>
      <c r="I140" s="81"/>
      <c r="J140" s="81"/>
    </row>
    <row r="141" spans="6:10" ht="15" customHeight="1">
      <c r="F141" s="81"/>
      <c r="G141" s="90"/>
      <c r="H141" s="81"/>
      <c r="I141" s="81"/>
      <c r="J141" s="81"/>
    </row>
    <row r="142" spans="6:10" ht="15" customHeight="1">
      <c r="F142" s="81"/>
      <c r="G142" s="90"/>
      <c r="H142" s="81"/>
      <c r="I142" s="81"/>
      <c r="J142" s="81"/>
    </row>
    <row r="143" spans="6:10" ht="15" customHeight="1">
      <c r="F143" s="81"/>
      <c r="G143" s="90"/>
      <c r="H143" s="81"/>
      <c r="I143" s="81"/>
      <c r="J143" s="81"/>
    </row>
    <row r="144" spans="6:10" ht="15" customHeight="1">
      <c r="F144" s="81"/>
      <c r="G144" s="90"/>
      <c r="H144" s="81"/>
      <c r="I144" s="81"/>
      <c r="J144" s="81"/>
    </row>
    <row r="145" spans="6:10" ht="15" customHeight="1">
      <c r="F145" s="81"/>
      <c r="G145" s="90"/>
      <c r="H145" s="81"/>
      <c r="I145" s="81"/>
      <c r="J145" s="81"/>
    </row>
    <row r="146" spans="6:10" ht="15" customHeight="1">
      <c r="F146" s="81"/>
      <c r="G146" s="90"/>
      <c r="H146" s="81"/>
      <c r="I146" s="81"/>
      <c r="J146" s="81"/>
    </row>
    <row r="147" spans="6:10" ht="15" customHeight="1">
      <c r="F147" s="81"/>
      <c r="G147" s="90"/>
      <c r="H147" s="81"/>
      <c r="I147" s="81"/>
      <c r="J147" s="81"/>
    </row>
    <row r="148" spans="6:10" ht="15" customHeight="1">
      <c r="F148" s="81"/>
      <c r="G148" s="90"/>
      <c r="H148" s="81"/>
      <c r="I148" s="81"/>
      <c r="J148" s="81"/>
    </row>
    <row r="149" spans="6:10" ht="15" customHeight="1">
      <c r="F149" s="81"/>
      <c r="G149" s="90"/>
      <c r="H149" s="81"/>
      <c r="I149" s="81"/>
      <c r="J149" s="81"/>
    </row>
    <row r="150" spans="6:10" ht="15" customHeight="1">
      <c r="F150" s="81"/>
      <c r="G150" s="90"/>
      <c r="H150" s="81"/>
      <c r="I150" s="81"/>
      <c r="J150" s="81"/>
    </row>
    <row r="151" spans="6:10" ht="15" customHeight="1">
      <c r="F151" s="81"/>
      <c r="G151" s="90"/>
      <c r="H151" s="81"/>
      <c r="I151" s="81"/>
      <c r="J151" s="81"/>
    </row>
    <row r="152" spans="6:10" ht="15" customHeight="1">
      <c r="F152" s="81"/>
      <c r="G152" s="90"/>
      <c r="H152" s="81"/>
      <c r="I152" s="81"/>
      <c r="J152" s="81"/>
    </row>
    <row r="153" spans="6:10" ht="15" customHeight="1">
      <c r="F153" s="81"/>
      <c r="G153" s="90"/>
      <c r="H153" s="81"/>
      <c r="I153" s="81"/>
      <c r="J153" s="81"/>
    </row>
  </sheetData>
  <mergeCells count="2">
    <mergeCell ref="A2:F2"/>
    <mergeCell ref="A1:F1"/>
  </mergeCells>
  <phoneticPr fontId="4" type="noConversion"/>
  <pageMargins left="0.74803149606299213" right="0.74803149606299213" top="0.98425196850393704" bottom="0.98425196850393704" header="0.51181102362204722" footer="0.51181102362204722"/>
  <pageSetup paperSize="9" scale="63" orientation="portrait" r:id="rId1"/>
  <headerFooter alignWithMargins="0">
    <oddFooter>&amp;L&amp;F&amp;C&amp;D&amp;R&amp;A</oddFooter>
  </headerFooter>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0" tint="-0.14999847407452621"/>
  </sheetPr>
  <dimension ref="A1:HL263"/>
  <sheetViews>
    <sheetView view="pageBreakPreview" zoomScale="90" zoomScaleNormal="40" zoomScaleSheetLayoutView="90" workbookViewId="0">
      <pane ySplit="4" topLeftCell="A5" activePane="bottomLeft" state="frozen"/>
      <selection pane="bottomLeft" activeCell="Q83" sqref="Q83"/>
    </sheetView>
  </sheetViews>
  <sheetFormatPr defaultColWidth="10.28515625" defaultRowHeight="15" customHeight="1"/>
  <cols>
    <col min="1" max="1" width="6.140625" style="24" customWidth="1"/>
    <col min="2" max="2" width="19.5703125" style="24" bestFit="1" customWidth="1"/>
    <col min="3" max="3" width="12.7109375" style="24" bestFit="1" customWidth="1"/>
    <col min="4" max="4" width="12" style="24" customWidth="1"/>
    <col min="5" max="5" width="11.7109375" style="24" bestFit="1" customWidth="1"/>
    <col min="6" max="6" width="11.28515625" style="24" customWidth="1"/>
    <col min="7" max="7" width="7.28515625" style="24" customWidth="1"/>
    <col min="8" max="8" width="11.42578125" style="27" customWidth="1"/>
    <col min="9" max="9" width="32.42578125" style="74" bestFit="1" customWidth="1"/>
    <col min="10" max="10" width="9.28515625" style="27" customWidth="1"/>
    <col min="11" max="11" width="23.140625" style="74" bestFit="1" customWidth="1"/>
    <col min="12" max="12" width="9.28515625" style="27" customWidth="1"/>
    <col min="13" max="13" width="15.42578125" style="119" bestFit="1" customWidth="1"/>
    <col min="14" max="14" width="14.5703125" style="119" customWidth="1"/>
    <col min="15" max="15" width="14.5703125" style="120" customWidth="1"/>
    <col min="16" max="16" width="13.7109375" style="120" customWidth="1"/>
    <col min="17" max="17" width="55.7109375" style="24" bestFit="1" customWidth="1"/>
    <col min="18" max="18" width="12.85546875" style="24" customWidth="1"/>
    <col min="19" max="19" width="12.5703125" style="12" customWidth="1"/>
    <col min="20" max="20" width="16.42578125" style="12" customWidth="1"/>
    <col min="21" max="21" width="16.42578125" style="122" customWidth="1"/>
    <col min="22" max="22" width="18" style="123" customWidth="1"/>
    <col min="23" max="23" width="16.42578125" style="121" customWidth="1"/>
    <col min="24" max="24" width="16.42578125" style="12" customWidth="1"/>
    <col min="25" max="25" width="16.42578125" style="122" customWidth="1"/>
    <col min="26" max="26" width="16.42578125" style="123" customWidth="1"/>
    <col min="27" max="27" width="16.42578125" style="121" customWidth="1"/>
    <col min="28" max="29" width="16.42578125" style="24" customWidth="1"/>
    <col min="30" max="31" width="16.42578125" style="124" customWidth="1"/>
    <col min="32" max="32" width="16.42578125" style="125" customWidth="1"/>
    <col min="33" max="33" width="16.42578125" style="87" customWidth="1"/>
    <col min="34" max="219" width="10.28515625" style="87"/>
    <col min="220" max="16384" width="10.28515625" style="24"/>
  </cols>
  <sheetData>
    <row r="1" spans="1:220" ht="15" customHeight="1">
      <c r="A1" s="314" t="s">
        <v>170</v>
      </c>
      <c r="B1" s="314"/>
      <c r="C1" s="314"/>
      <c r="D1" s="314"/>
      <c r="E1" s="314"/>
      <c r="F1" s="314"/>
      <c r="G1" s="314"/>
      <c r="H1" s="314"/>
      <c r="I1" s="314"/>
      <c r="J1" s="314"/>
      <c r="K1" s="314"/>
      <c r="L1" s="314"/>
      <c r="M1" s="314"/>
      <c r="N1" s="314"/>
      <c r="O1" s="314"/>
      <c r="P1" s="314"/>
      <c r="Q1" s="314"/>
      <c r="R1" s="314" t="s">
        <v>170</v>
      </c>
      <c r="S1" s="314"/>
      <c r="T1" s="314"/>
      <c r="U1" s="314"/>
      <c r="V1" s="314"/>
      <c r="W1" s="314"/>
      <c r="X1" s="314"/>
      <c r="Y1" s="314"/>
      <c r="Z1" s="314"/>
      <c r="AA1" s="314"/>
      <c r="AB1" s="314"/>
      <c r="AC1" s="314"/>
      <c r="AD1" s="314"/>
      <c r="AE1" s="314"/>
      <c r="AF1" s="314"/>
      <c r="AG1" s="314"/>
    </row>
    <row r="2" spans="1:220" ht="15" customHeight="1">
      <c r="A2" s="87"/>
      <c r="B2" s="87"/>
      <c r="C2" s="87"/>
      <c r="D2" s="87"/>
      <c r="E2" s="87"/>
      <c r="F2" s="87"/>
      <c r="G2" s="87"/>
      <c r="H2" s="89"/>
      <c r="I2" s="138"/>
      <c r="J2" s="89"/>
      <c r="K2" s="138"/>
      <c r="L2" s="89"/>
      <c r="M2" s="105"/>
      <c r="N2" s="105"/>
      <c r="O2" s="106"/>
      <c r="P2" s="106"/>
      <c r="Q2" s="87"/>
      <c r="R2" s="87"/>
      <c r="S2" s="87"/>
      <c r="T2" s="87"/>
      <c r="U2" s="87"/>
      <c r="V2" s="87"/>
      <c r="W2" s="87"/>
      <c r="X2" s="87"/>
      <c r="Y2" s="87"/>
      <c r="Z2" s="87"/>
      <c r="AA2" s="87"/>
      <c r="AB2" s="87"/>
      <c r="AC2" s="87"/>
      <c r="AD2" s="87"/>
      <c r="AE2" s="87"/>
      <c r="AF2" s="87"/>
    </row>
    <row r="3" spans="1:220" s="87" customFormat="1" ht="15" customHeight="1">
      <c r="H3" s="89"/>
      <c r="I3" s="138"/>
      <c r="J3" s="89"/>
      <c r="K3" s="138"/>
      <c r="L3" s="89"/>
      <c r="M3" s="105"/>
      <c r="N3" s="105"/>
      <c r="O3" s="106"/>
      <c r="P3" s="106"/>
      <c r="S3" s="315" t="s">
        <v>260</v>
      </c>
      <c r="T3" s="316"/>
      <c r="U3" s="316"/>
      <c r="V3" s="316"/>
      <c r="W3" s="316"/>
      <c r="X3" s="317"/>
      <c r="Y3" s="318" t="s">
        <v>261</v>
      </c>
      <c r="Z3" s="319"/>
      <c r="AA3" s="319"/>
      <c r="AB3" s="319"/>
      <c r="AC3" s="319"/>
      <c r="AD3" s="320"/>
      <c r="AE3" s="321" t="s">
        <v>262</v>
      </c>
      <c r="AF3" s="322"/>
      <c r="AG3" s="323"/>
    </row>
    <row r="4" spans="1:220" s="20" customFormat="1" ht="26.25" customHeight="1">
      <c r="A4" s="137" t="s">
        <v>34</v>
      </c>
      <c r="B4" s="23" t="s">
        <v>152</v>
      </c>
      <c r="C4" s="23" t="s">
        <v>71</v>
      </c>
      <c r="D4" s="23" t="s">
        <v>70</v>
      </c>
      <c r="E4" s="23" t="s">
        <v>30</v>
      </c>
      <c r="F4" s="23" t="s">
        <v>31</v>
      </c>
      <c r="G4" s="23" t="s">
        <v>126</v>
      </c>
      <c r="H4" s="23" t="s">
        <v>127</v>
      </c>
      <c r="I4" s="75" t="s">
        <v>110</v>
      </c>
      <c r="J4" s="23" t="s">
        <v>23</v>
      </c>
      <c r="K4" s="75" t="s">
        <v>128</v>
      </c>
      <c r="L4" s="23" t="s">
        <v>129</v>
      </c>
      <c r="M4" s="23" t="s">
        <v>40</v>
      </c>
      <c r="N4" s="23" t="s">
        <v>32</v>
      </c>
      <c r="O4" s="23" t="s">
        <v>140</v>
      </c>
      <c r="P4" s="23" t="s">
        <v>74</v>
      </c>
      <c r="Q4" s="23" t="s">
        <v>141</v>
      </c>
      <c r="R4" s="23" t="s">
        <v>132</v>
      </c>
      <c r="S4" s="23" t="s">
        <v>130</v>
      </c>
      <c r="T4" s="23" t="s">
        <v>144</v>
      </c>
      <c r="U4" s="23" t="s">
        <v>145</v>
      </c>
      <c r="V4" s="23" t="s">
        <v>146</v>
      </c>
      <c r="W4" s="23" t="s">
        <v>142</v>
      </c>
      <c r="X4" s="23" t="s">
        <v>143</v>
      </c>
      <c r="Y4" s="23" t="s">
        <v>131</v>
      </c>
      <c r="Z4" s="23" t="s">
        <v>151</v>
      </c>
      <c r="AA4" s="23" t="s">
        <v>147</v>
      </c>
      <c r="AB4" s="23" t="s">
        <v>148</v>
      </c>
      <c r="AC4" s="23" t="s">
        <v>149</v>
      </c>
      <c r="AD4" s="23" t="s">
        <v>150</v>
      </c>
      <c r="AE4" s="82" t="s">
        <v>134</v>
      </c>
      <c r="AF4" s="82" t="s">
        <v>37</v>
      </c>
      <c r="AG4" s="83" t="s">
        <v>36</v>
      </c>
      <c r="AH4" s="84"/>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row>
    <row r="5" spans="1:220" ht="15" customHeight="1">
      <c r="A5" s="136">
        <v>1</v>
      </c>
      <c r="B5" s="27" t="str">
        <f>VLOOKUP(Ruimtestaat[[#This Row],[Code]],Locaties[#All],2,FALSE)</f>
        <v>Amstelveen College</v>
      </c>
      <c r="C5" s="27" t="str">
        <f>VLOOKUP(Ruimtestaat[[#This Row],[Code]],Locaties[#All],4,FALSE)</f>
        <v>Sportlaan 27</v>
      </c>
      <c r="D5" s="27" t="str">
        <f>VLOOKUP(Ruimtestaat[[#This Row],[Code]],Locaties[#All],5,FALSE)</f>
        <v>1185 TB</v>
      </c>
      <c r="E5" s="27" t="str">
        <f>VLOOKUP(Ruimtestaat[[#This Row],[Code]],Locaties[#All],6,FALSE)</f>
        <v>Amstelveen</v>
      </c>
      <c r="F5" s="74"/>
      <c r="G5" s="27" t="s">
        <v>456</v>
      </c>
      <c r="H5" s="27" t="s">
        <v>440</v>
      </c>
      <c r="I5" s="24" t="s">
        <v>441</v>
      </c>
      <c r="J5" s="27">
        <v>20</v>
      </c>
      <c r="K5" s="74" t="str">
        <f>VLOOKUP(J5,Ruimtegroepen[],2,FALSE)</f>
        <v>Niet in onderhoud</v>
      </c>
      <c r="M5" s="27"/>
      <c r="N5" s="107"/>
      <c r="O5" s="107">
        <v>17</v>
      </c>
      <c r="P5" s="118" t="str">
        <f>LEFT(VLOOKUP(Ruimtestaat[[#This Row],[Ruimte code]],Ruimtegroepen[#All],4,1),2)</f>
        <v/>
      </c>
      <c r="Q5" s="107"/>
      <c r="R5" s="108"/>
      <c r="S5" s="109"/>
      <c r="T5" s="110">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 s="110">
        <f>IF(T5&gt;0,VLOOKUP($J5,Ruimtegroepen[],3,FALSE)*VLOOKUP($L5,Vloersoorten[],3,FALSE)*VLOOKUP($S5,Frequenties[],3,FALSE)*VLOOKUP($A5,Locaties[],3,FALSE),0)</f>
        <v>0</v>
      </c>
      <c r="V5" s="111">
        <f>Ruimtestaat[[#This Row],[Uitvoeringen werkdagen]]*Ruimtestaat[[#This Row],[Oppervlak (netto)]]</f>
        <v>0</v>
      </c>
      <c r="W5" s="112">
        <f>IF(U5&gt;0,Ruimtestaat[[#This Row],[Prest. (m2 /jaar) werkdagen]]/Ruimtestaat[[#This Row],[Norm (m2/uur) werkdagen]],0)</f>
        <v>0</v>
      </c>
      <c r="X5" s="113">
        <f>Ruimtestaat[[#This Row],[uren / jaar werkdagen]]*Tariefsopbouw!$E$35</f>
        <v>0</v>
      </c>
      <c r="Y5" s="110"/>
      <c r="Z5" s="114">
        <f>IF(Ruimtestaat[[#This Row],[Frequentie weekend]]&gt;0,VALUE(LEFT(Y5,1))*R5,0)</f>
        <v>0</v>
      </c>
      <c r="AA5" s="110">
        <f>IF($Z5&gt;0,VLOOKUP($J5,Ruimtegroepen[],3,FALSE)*VLOOKUP($L5,Vloersoorten[],3,FALSE)*VLOOKUP($Y5,Frequenties[],3,FALSE)*VLOOKUP(#REF!,Locaties[],3,FALSE),0)</f>
        <v>0</v>
      </c>
      <c r="AB5" s="112">
        <f>Ruimtestaat[[#This Row],[Uitvoeringen weekend]]*Ruimtestaat[[#This Row],[Oppervlak (netto)]]</f>
        <v>0</v>
      </c>
      <c r="AC5" s="115">
        <f>IF(AB5&gt;0,Ruimtestaat[[#This Row],[Prest. (m2 /jaar) weekend]]/Ruimtestaat[[#This Row],[Norm (m2/uur) weekend]],0)</f>
        <v>0</v>
      </c>
      <c r="AD5" s="116">
        <f>Ruimtestaat[[#This Row],[uren / jaar weekend]]*Tariefsopbouw!$D$40</f>
        <v>0</v>
      </c>
      <c r="AE5" s="82">
        <f>Ruimtestaat[[#This Row],[Prest. (m2 /jaar) weekend]]+Ruimtestaat[[#This Row],[Prest. (m2 /jaar) werkdagen]]</f>
        <v>0</v>
      </c>
      <c r="AF5" s="82">
        <f>Ruimtestaat[[#This Row],[uren / jaar weekend]]+Ruimtestaat[[#This Row],[uren / jaar werkdagen]]</f>
        <v>0</v>
      </c>
      <c r="AG5" s="83">
        <f>Ruimtestaat[[#This Row],[kosten / jaar weekend]]+Ruimtestaat[[#This Row],[kosten / jaar werkdagen]]</f>
        <v>0</v>
      </c>
      <c r="AH5" s="117"/>
      <c r="HL5" s="87"/>
    </row>
    <row r="6" spans="1:220" ht="15" customHeight="1">
      <c r="A6" s="136">
        <v>1</v>
      </c>
      <c r="B6" s="27" t="str">
        <f>VLOOKUP(Ruimtestaat[[#This Row],[Code]],Locaties[#All],2,FALSE)</f>
        <v>Amstelveen College</v>
      </c>
      <c r="C6" s="27" t="str">
        <f>VLOOKUP(Ruimtestaat[[#This Row],[Code]],Locaties[#All],4,FALSE)</f>
        <v>Sportlaan 27</v>
      </c>
      <c r="D6" s="27" t="str">
        <f>VLOOKUP(Ruimtestaat[[#This Row],[Code]],Locaties[#All],5,FALSE)</f>
        <v>1185 TB</v>
      </c>
      <c r="E6" s="27" t="str">
        <f>VLOOKUP(Ruimtestaat[[#This Row],[Code]],Locaties[#All],6,FALSE)</f>
        <v>Amstelveen</v>
      </c>
      <c r="F6" s="74"/>
      <c r="G6" s="27" t="s">
        <v>456</v>
      </c>
      <c r="H6" s="27" t="s">
        <v>429</v>
      </c>
      <c r="I6" s="24" t="s">
        <v>439</v>
      </c>
      <c r="J6" s="27">
        <v>6</v>
      </c>
      <c r="K6" s="74" t="str">
        <f>VLOOKUP(J6,Ruimtegroepen[],2,FALSE)</f>
        <v>Gangen/hallen</v>
      </c>
      <c r="L6" s="27" t="s">
        <v>114</v>
      </c>
      <c r="M6" s="27" t="s">
        <v>139</v>
      </c>
      <c r="N6" s="107">
        <v>112</v>
      </c>
      <c r="O6" s="107"/>
      <c r="P6" s="118" t="str">
        <f>LEFT(VLOOKUP(Ruimtestaat[[#This Row],[Ruimte code]],Ruimtegroepen[#All],4,1),2)</f>
        <v xml:space="preserve">V </v>
      </c>
      <c r="Q6" s="107"/>
      <c r="R6" s="108">
        <v>42</v>
      </c>
      <c r="S6" s="109" t="s">
        <v>2</v>
      </c>
      <c r="T6" s="110">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6" s="110">
        <f>IF(T6&gt;0,VLOOKUP($J6,Ruimtegroepen[],3,FALSE)*VLOOKUP($L6,Vloersoorten[],3,FALSE)*VLOOKUP($S6,Frequenties[],3,FALSE)*VLOOKUP($A6,Locaties[],3,FALSE),0)</f>
        <v>0</v>
      </c>
      <c r="V6" s="111">
        <f>Ruimtestaat[[#This Row],[Uitvoeringen werkdagen]]*Ruimtestaat[[#This Row],[Oppervlak (netto)]]</f>
        <v>23520</v>
      </c>
      <c r="W6" s="112">
        <f>IF(U6&gt;0,Ruimtestaat[[#This Row],[Prest. (m2 /jaar) werkdagen]]/Ruimtestaat[[#This Row],[Norm (m2/uur) werkdagen]],0)</f>
        <v>0</v>
      </c>
      <c r="X6" s="113">
        <f>Ruimtestaat[[#This Row],[uren / jaar werkdagen]]*Tariefsopbouw!$E$35</f>
        <v>0</v>
      </c>
      <c r="Y6" s="110"/>
      <c r="Z6" s="114">
        <f>IF(Ruimtestaat[[#This Row],[Frequentie weekend]]&gt;0,VALUE(LEFT(Y6,1))*R6,0)</f>
        <v>0</v>
      </c>
      <c r="AA6" s="110">
        <f>IF($Z6&gt;0,VLOOKUP($J6,Ruimtegroepen[],3,FALSE)*VLOOKUP($L6,Vloersoorten[],3,FALSE)*VLOOKUP($Y6,Frequenties[],3,FALSE)*VLOOKUP($A1,Locaties[],3,FALSE),0)</f>
        <v>0</v>
      </c>
      <c r="AB6" s="112">
        <f>Ruimtestaat[[#This Row],[Uitvoeringen weekend]]*Ruimtestaat[[#This Row],[Oppervlak (netto)]]</f>
        <v>0</v>
      </c>
      <c r="AC6" s="115">
        <f>IF(AB6&gt;0,Ruimtestaat[[#This Row],[Prest. (m2 /jaar) weekend]]/Ruimtestaat[[#This Row],[Norm (m2/uur) weekend]],0)</f>
        <v>0</v>
      </c>
      <c r="AD6" s="116">
        <f>Ruimtestaat[[#This Row],[uren / jaar weekend]]*Tariefsopbouw!$D$40</f>
        <v>0</v>
      </c>
      <c r="AE6" s="82">
        <f>Ruimtestaat[[#This Row],[Prest. (m2 /jaar) weekend]]+Ruimtestaat[[#This Row],[Prest. (m2 /jaar) werkdagen]]</f>
        <v>23520</v>
      </c>
      <c r="AF6" s="82">
        <f>Ruimtestaat[[#This Row],[uren / jaar weekend]]+Ruimtestaat[[#This Row],[uren / jaar werkdagen]]</f>
        <v>0</v>
      </c>
      <c r="AG6" s="83">
        <f>Ruimtestaat[[#This Row],[kosten / jaar weekend]]+Ruimtestaat[[#This Row],[kosten / jaar werkdagen]]</f>
        <v>0</v>
      </c>
      <c r="AH6" s="117"/>
      <c r="HL6" s="87"/>
    </row>
    <row r="7" spans="1:220" ht="15" customHeight="1">
      <c r="A7" s="136">
        <v>1</v>
      </c>
      <c r="B7" s="27" t="str">
        <f>VLOOKUP(Ruimtestaat[[#This Row],[Code]],Locaties[#All],2,FALSE)</f>
        <v>Amstelveen College</v>
      </c>
      <c r="C7" s="27" t="str">
        <f>VLOOKUP(Ruimtestaat[[#This Row],[Code]],Locaties[#All],4,FALSE)</f>
        <v>Sportlaan 27</v>
      </c>
      <c r="D7" s="27" t="str">
        <f>VLOOKUP(Ruimtestaat[[#This Row],[Code]],Locaties[#All],5,FALSE)</f>
        <v>1185 TB</v>
      </c>
      <c r="E7" s="27" t="str">
        <f>VLOOKUP(Ruimtestaat[[#This Row],[Code]],Locaties[#All],6,FALSE)</f>
        <v>Amstelveen</v>
      </c>
      <c r="F7" s="74"/>
      <c r="G7" s="27" t="s">
        <v>456</v>
      </c>
      <c r="H7" s="27" t="s">
        <v>428</v>
      </c>
      <c r="I7" s="24" t="s">
        <v>438</v>
      </c>
      <c r="J7" s="27">
        <v>9</v>
      </c>
      <c r="K7" s="74" t="str">
        <f>VLOOKUP(J7,Ruimtegroepen[],2,FALSE)</f>
        <v>Publieksruimte</v>
      </c>
      <c r="L7" s="27" t="s">
        <v>114</v>
      </c>
      <c r="M7" s="27" t="s">
        <v>139</v>
      </c>
      <c r="N7" s="107">
        <v>44</v>
      </c>
      <c r="O7" s="107"/>
      <c r="P7" s="118" t="str">
        <f>LEFT(VLOOKUP(Ruimtestaat[[#This Row],[Ruimte code]],Ruimtegroepen[#All],4,1),2)</f>
        <v xml:space="preserve">V </v>
      </c>
      <c r="Q7" s="107"/>
      <c r="R7" s="108">
        <v>40</v>
      </c>
      <c r="S7" s="109" t="s">
        <v>2</v>
      </c>
      <c r="T7" s="110">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 s="110">
        <f>IF(T7&gt;0,VLOOKUP($J7,Ruimtegroepen[],3,FALSE)*VLOOKUP($L7,Vloersoorten[],3,FALSE)*VLOOKUP($S7,Frequenties[],3,FALSE)*VLOOKUP($A7,Locaties[],3,FALSE),0)</f>
        <v>0</v>
      </c>
      <c r="V7" s="111">
        <f>Ruimtestaat[[#This Row],[Uitvoeringen werkdagen]]*Ruimtestaat[[#This Row],[Oppervlak (netto)]]</f>
        <v>8800</v>
      </c>
      <c r="W7" s="112">
        <f>IF(U7&gt;0,Ruimtestaat[[#This Row],[Prest. (m2 /jaar) werkdagen]]/Ruimtestaat[[#This Row],[Norm (m2/uur) werkdagen]],0)</f>
        <v>0</v>
      </c>
      <c r="X7" s="113">
        <f>Ruimtestaat[[#This Row],[uren / jaar werkdagen]]*Tariefsopbouw!$E$35</f>
        <v>0</v>
      </c>
      <c r="Y7" s="110"/>
      <c r="Z7" s="114">
        <f>IF(Ruimtestaat[[#This Row],[Frequentie weekend]]&gt;0,VALUE(LEFT(Y7,1))*R7,0)</f>
        <v>0</v>
      </c>
      <c r="AA7" s="110">
        <f>IF($Z7&gt;0,VLOOKUP($J7,Ruimtegroepen[],3,FALSE)*VLOOKUP($L7,Vloersoorten[],3,FALSE)*VLOOKUP($Y7,Frequenties[],3,FALSE)*VLOOKUP($A2,Locaties[],3,FALSE),0)</f>
        <v>0</v>
      </c>
      <c r="AB7" s="112">
        <f>Ruimtestaat[[#This Row],[Uitvoeringen weekend]]*Ruimtestaat[[#This Row],[Oppervlak (netto)]]</f>
        <v>0</v>
      </c>
      <c r="AC7" s="115">
        <f>IF(AB7&gt;0,Ruimtestaat[[#This Row],[Prest. (m2 /jaar) weekend]]/Ruimtestaat[[#This Row],[Norm (m2/uur) weekend]],0)</f>
        <v>0</v>
      </c>
      <c r="AD7" s="116">
        <f>Ruimtestaat[[#This Row],[uren / jaar weekend]]*Tariefsopbouw!$D$40</f>
        <v>0</v>
      </c>
      <c r="AE7" s="82">
        <f>Ruimtestaat[[#This Row],[Prest. (m2 /jaar) weekend]]+Ruimtestaat[[#This Row],[Prest. (m2 /jaar) werkdagen]]</f>
        <v>8800</v>
      </c>
      <c r="AF7" s="82">
        <f>Ruimtestaat[[#This Row],[uren / jaar weekend]]+Ruimtestaat[[#This Row],[uren / jaar werkdagen]]</f>
        <v>0</v>
      </c>
      <c r="AG7" s="83">
        <f>Ruimtestaat[[#This Row],[kosten / jaar weekend]]+Ruimtestaat[[#This Row],[kosten / jaar werkdagen]]</f>
        <v>0</v>
      </c>
      <c r="AH7" s="117"/>
      <c r="HL7" s="87"/>
    </row>
    <row r="8" spans="1:220" ht="15" customHeight="1">
      <c r="A8" s="136">
        <v>1</v>
      </c>
      <c r="B8" s="27" t="str">
        <f>VLOOKUP(Ruimtestaat[[#This Row],[Code]],Locaties[#All],2,FALSE)</f>
        <v>Amstelveen College</v>
      </c>
      <c r="C8" s="27" t="str">
        <f>VLOOKUP(Ruimtestaat[[#This Row],[Code]],Locaties[#All],4,FALSE)</f>
        <v>Sportlaan 27</v>
      </c>
      <c r="D8" s="27" t="str">
        <f>VLOOKUP(Ruimtestaat[[#This Row],[Code]],Locaties[#All],5,FALSE)</f>
        <v>1185 TB</v>
      </c>
      <c r="E8" s="27" t="str">
        <f>VLOOKUP(Ruimtestaat[[#This Row],[Code]],Locaties[#All],6,FALSE)</f>
        <v>Amstelveen</v>
      </c>
      <c r="F8" s="74"/>
      <c r="G8" s="27" t="s">
        <v>456</v>
      </c>
      <c r="H8" s="27" t="s">
        <v>458</v>
      </c>
      <c r="I8" s="24" t="s">
        <v>454</v>
      </c>
      <c r="J8" s="27">
        <v>10</v>
      </c>
      <c r="K8" s="74" t="str">
        <f>VLOOKUP(J8,Ruimtegroepen[],2,FALSE)</f>
        <v>Trappenhuizen/lift</v>
      </c>
      <c r="L8" s="27" t="s">
        <v>116</v>
      </c>
      <c r="M8" s="27" t="s">
        <v>570</v>
      </c>
      <c r="N8" s="107">
        <v>30</v>
      </c>
      <c r="O8" s="107"/>
      <c r="P8" s="118" t="str">
        <f>LEFT(VLOOKUP(Ruimtestaat[[#This Row],[Ruimte code]],Ruimtegroepen[#All],4,1),2)</f>
        <v xml:space="preserve">V </v>
      </c>
      <c r="Q8" s="107"/>
      <c r="R8" s="108">
        <v>40</v>
      </c>
      <c r="S8" s="109" t="s">
        <v>2</v>
      </c>
      <c r="T8" s="110">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 s="110">
        <f>IF(T8&gt;0,VLOOKUP($J8,Ruimtegroepen[],3,FALSE)*VLOOKUP($L8,Vloersoorten[],3,FALSE)*VLOOKUP($S8,Frequenties[],3,FALSE)*VLOOKUP($A8,Locaties[],3,FALSE),0)</f>
        <v>0</v>
      </c>
      <c r="V8" s="111">
        <f>Ruimtestaat[[#This Row],[Uitvoeringen werkdagen]]*Ruimtestaat[[#This Row],[Oppervlak (netto)]]</f>
        <v>6000</v>
      </c>
      <c r="W8" s="112">
        <f>IF(U8&gt;0,Ruimtestaat[[#This Row],[Prest. (m2 /jaar) werkdagen]]/Ruimtestaat[[#This Row],[Norm (m2/uur) werkdagen]],0)</f>
        <v>0</v>
      </c>
      <c r="X8" s="113">
        <f>Ruimtestaat[[#This Row],[uren / jaar werkdagen]]*Tariefsopbouw!$E$35</f>
        <v>0</v>
      </c>
      <c r="Y8" s="110"/>
      <c r="Z8" s="114">
        <f>IF(Ruimtestaat[[#This Row],[Frequentie weekend]]&gt;0,VALUE(LEFT(Y8,1))*R8,0)</f>
        <v>0</v>
      </c>
      <c r="AA8" s="110">
        <f>IF($Z8&gt;0,VLOOKUP($J8,Ruimtegroepen[],3,FALSE)*VLOOKUP($L8,Vloersoorten[],3,FALSE)*VLOOKUP($Y8,Frequenties[],3,FALSE)*VLOOKUP($A3,Locaties[],3,FALSE),0)</f>
        <v>0</v>
      </c>
      <c r="AB8" s="112">
        <f>Ruimtestaat[[#This Row],[Uitvoeringen weekend]]*Ruimtestaat[[#This Row],[Oppervlak (netto)]]</f>
        <v>0</v>
      </c>
      <c r="AC8" s="115">
        <f>IF(AB8&gt;0,Ruimtestaat[[#This Row],[Prest. (m2 /jaar) weekend]]/Ruimtestaat[[#This Row],[Norm (m2/uur) weekend]],0)</f>
        <v>0</v>
      </c>
      <c r="AD8" s="116">
        <f>Ruimtestaat[[#This Row],[uren / jaar weekend]]*Tariefsopbouw!$D$40</f>
        <v>0</v>
      </c>
      <c r="AE8" s="82">
        <f>Ruimtestaat[[#This Row],[Prest. (m2 /jaar) weekend]]+Ruimtestaat[[#This Row],[Prest. (m2 /jaar) werkdagen]]</f>
        <v>6000</v>
      </c>
      <c r="AF8" s="82">
        <f>Ruimtestaat[[#This Row],[uren / jaar weekend]]+Ruimtestaat[[#This Row],[uren / jaar werkdagen]]</f>
        <v>0</v>
      </c>
      <c r="AG8" s="83">
        <f>Ruimtestaat[[#This Row],[kosten / jaar weekend]]+Ruimtestaat[[#This Row],[kosten / jaar werkdagen]]</f>
        <v>0</v>
      </c>
      <c r="AH8" s="117"/>
      <c r="HL8" s="87"/>
    </row>
    <row r="9" spans="1:220" ht="15" customHeight="1">
      <c r="A9" s="136">
        <v>1</v>
      </c>
      <c r="B9" s="27" t="str">
        <f>VLOOKUP(Ruimtestaat[[#This Row],[Code]],Locaties[#All],2,FALSE)</f>
        <v>Amstelveen College</v>
      </c>
      <c r="C9" s="27" t="str">
        <f>VLOOKUP(Ruimtestaat[[#This Row],[Code]],Locaties[#All],4,FALSE)</f>
        <v>Sportlaan 27</v>
      </c>
      <c r="D9" s="27" t="str">
        <f>VLOOKUP(Ruimtestaat[[#This Row],[Code]],Locaties[#All],5,FALSE)</f>
        <v>1185 TB</v>
      </c>
      <c r="E9" s="27" t="str">
        <f>VLOOKUP(Ruimtestaat[[#This Row],[Code]],Locaties[#All],6,FALSE)</f>
        <v>Amstelveen</v>
      </c>
      <c r="F9" s="74"/>
      <c r="G9" s="27" t="s">
        <v>456</v>
      </c>
      <c r="H9" s="27" t="s">
        <v>442</v>
      </c>
      <c r="I9" s="24" t="s">
        <v>457</v>
      </c>
      <c r="J9" s="27">
        <v>20</v>
      </c>
      <c r="K9" s="74" t="str">
        <f>VLOOKUP(J9,Ruimtegroepen[],2,FALSE)</f>
        <v>Niet in onderhoud</v>
      </c>
      <c r="M9" s="27"/>
      <c r="N9" s="107"/>
      <c r="O9" s="107">
        <v>2</v>
      </c>
      <c r="P9" s="118" t="str">
        <f>LEFT(VLOOKUP(Ruimtestaat[[#This Row],[Ruimte code]],Ruimtegroepen[#All],4,1),2)</f>
        <v/>
      </c>
      <c r="Q9" s="107"/>
      <c r="R9" s="108"/>
      <c r="S9" s="109"/>
      <c r="T9" s="110">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 s="110">
        <f>IF(T9&gt;0,VLOOKUP($J9,Ruimtegroepen[],3,FALSE)*VLOOKUP($L9,Vloersoorten[],3,FALSE)*VLOOKUP($S9,Frequenties[],3,FALSE)*VLOOKUP($A9,Locaties[],3,FALSE),0)</f>
        <v>0</v>
      </c>
      <c r="V9" s="111">
        <f>Ruimtestaat[[#This Row],[Uitvoeringen werkdagen]]*Ruimtestaat[[#This Row],[Oppervlak (netto)]]</f>
        <v>0</v>
      </c>
      <c r="W9" s="112">
        <f>IF(U9&gt;0,Ruimtestaat[[#This Row],[Prest. (m2 /jaar) werkdagen]]/Ruimtestaat[[#This Row],[Norm (m2/uur) werkdagen]],0)</f>
        <v>0</v>
      </c>
      <c r="X9" s="113">
        <f>Ruimtestaat[[#This Row],[uren / jaar werkdagen]]*Tariefsopbouw!$E$35</f>
        <v>0</v>
      </c>
      <c r="Y9" s="110"/>
      <c r="Z9" s="114">
        <f>IF(Ruimtestaat[[#This Row],[Frequentie weekend]]&gt;0,VALUE(LEFT(Y9,1))*R9,0)</f>
        <v>0</v>
      </c>
      <c r="AA9" s="110">
        <f>IF($Z9&gt;0,VLOOKUP($J9,Ruimtegroepen[],3,FALSE)*VLOOKUP($L9,Vloersoorten[],3,FALSE)*VLOOKUP($Y9,Frequenties[],3,FALSE)*VLOOKUP($A4,Locaties[],3,FALSE),0)</f>
        <v>0</v>
      </c>
      <c r="AB9" s="112">
        <f>Ruimtestaat[[#This Row],[Uitvoeringen weekend]]*Ruimtestaat[[#This Row],[Oppervlak (netto)]]</f>
        <v>0</v>
      </c>
      <c r="AC9" s="115">
        <f>IF(AB9&gt;0,Ruimtestaat[[#This Row],[Prest. (m2 /jaar) weekend]]/Ruimtestaat[[#This Row],[Norm (m2/uur) weekend]],0)</f>
        <v>0</v>
      </c>
      <c r="AD9" s="116">
        <f>Ruimtestaat[[#This Row],[uren / jaar weekend]]*Tariefsopbouw!$D$40</f>
        <v>0</v>
      </c>
      <c r="AE9" s="82">
        <f>Ruimtestaat[[#This Row],[Prest. (m2 /jaar) weekend]]+Ruimtestaat[[#This Row],[Prest. (m2 /jaar) werkdagen]]</f>
        <v>0</v>
      </c>
      <c r="AF9" s="82">
        <f>Ruimtestaat[[#This Row],[uren / jaar weekend]]+Ruimtestaat[[#This Row],[uren / jaar werkdagen]]</f>
        <v>0</v>
      </c>
      <c r="AG9" s="83">
        <f>Ruimtestaat[[#This Row],[kosten / jaar weekend]]+Ruimtestaat[[#This Row],[kosten / jaar werkdagen]]</f>
        <v>0</v>
      </c>
      <c r="AH9" s="117"/>
      <c r="HL9" s="87"/>
    </row>
    <row r="10" spans="1:220" ht="15" customHeight="1">
      <c r="A10" s="136">
        <v>1</v>
      </c>
      <c r="B10" s="27" t="str">
        <f>VLOOKUP(Ruimtestaat[[#This Row],[Code]],Locaties[#All],2,FALSE)</f>
        <v>Amstelveen College</v>
      </c>
      <c r="C10" s="27" t="str">
        <f>VLOOKUP(Ruimtestaat[[#This Row],[Code]],Locaties[#All],4,FALSE)</f>
        <v>Sportlaan 27</v>
      </c>
      <c r="D10" s="27" t="str">
        <f>VLOOKUP(Ruimtestaat[[#This Row],[Code]],Locaties[#All],5,FALSE)</f>
        <v>1185 TB</v>
      </c>
      <c r="E10" s="27" t="str">
        <f>VLOOKUP(Ruimtestaat[[#This Row],[Code]],Locaties[#All],6,FALSE)</f>
        <v>Amstelveen</v>
      </c>
      <c r="F10" s="74"/>
      <c r="G10" s="27" t="s">
        <v>456</v>
      </c>
      <c r="H10" s="27" t="s">
        <v>459</v>
      </c>
      <c r="I10" s="24" t="s">
        <v>377</v>
      </c>
      <c r="J10" s="27">
        <v>8</v>
      </c>
      <c r="K10" s="74" t="str">
        <f>VLOOKUP(J10,Ruimtegroepen[],2,FALSE)</f>
        <v>Mediatheek / OLC</v>
      </c>
      <c r="L10" s="27" t="s">
        <v>114</v>
      </c>
      <c r="M10" s="27" t="s">
        <v>139</v>
      </c>
      <c r="N10" s="107">
        <v>178</v>
      </c>
      <c r="O10" s="107"/>
      <c r="P10" s="118" t="str">
        <f>LEFT(VLOOKUP(Ruimtestaat[[#This Row],[Ruimte code]],Ruimtegroepen[#All],4,1),2)</f>
        <v xml:space="preserve">L </v>
      </c>
      <c r="Q10" s="107"/>
      <c r="R10" s="108">
        <v>40</v>
      </c>
      <c r="S10" s="109" t="s">
        <v>18</v>
      </c>
      <c r="T10" s="110">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 s="110">
        <f>IF(T10&gt;0,VLOOKUP($J10,Ruimtegroepen[],3,FALSE)*VLOOKUP($L10,Vloersoorten[],3,FALSE)*VLOOKUP($S10,Frequenties[],3,FALSE)*VLOOKUP($A10,Locaties[],3,FALSE),0)</f>
        <v>0</v>
      </c>
      <c r="V10" s="111">
        <f>Ruimtestaat[[#This Row],[Uitvoeringen werkdagen]]*Ruimtestaat[[#This Row],[Oppervlak (netto)]]</f>
        <v>21360</v>
      </c>
      <c r="W10" s="112">
        <f>IF(U10&gt;0,Ruimtestaat[[#This Row],[Prest. (m2 /jaar) werkdagen]]/Ruimtestaat[[#This Row],[Norm (m2/uur) werkdagen]],0)</f>
        <v>0</v>
      </c>
      <c r="X10" s="113">
        <f>Ruimtestaat[[#This Row],[uren / jaar werkdagen]]*Tariefsopbouw!$E$35</f>
        <v>0</v>
      </c>
      <c r="Y10" s="110"/>
      <c r="Z10" s="114">
        <f>IF(Ruimtestaat[[#This Row],[Frequentie weekend]]&gt;0,VALUE(LEFT(Y10,1))*R10,0)</f>
        <v>0</v>
      </c>
      <c r="AA10" s="110">
        <f>IF($Z10&gt;0,VLOOKUP($J10,Ruimtegroepen[],3,FALSE)*VLOOKUP($L10,Vloersoorten[],3,FALSE)*VLOOKUP($Y10,Frequenties[],3,FALSE)*VLOOKUP($A6,Locaties[],3,FALSE),0)</f>
        <v>0</v>
      </c>
      <c r="AB10" s="112">
        <f>Ruimtestaat[[#This Row],[Uitvoeringen weekend]]*Ruimtestaat[[#This Row],[Oppervlak (netto)]]</f>
        <v>0</v>
      </c>
      <c r="AC10" s="115">
        <f>IF(AB10&gt;0,Ruimtestaat[[#This Row],[Prest. (m2 /jaar) weekend]]/Ruimtestaat[[#This Row],[Norm (m2/uur) weekend]],0)</f>
        <v>0</v>
      </c>
      <c r="AD10" s="116">
        <f>Ruimtestaat[[#This Row],[uren / jaar weekend]]*Tariefsopbouw!$D$40</f>
        <v>0</v>
      </c>
      <c r="AE10" s="82">
        <f>Ruimtestaat[[#This Row],[Prest. (m2 /jaar) weekend]]+Ruimtestaat[[#This Row],[Prest. (m2 /jaar) werkdagen]]</f>
        <v>21360</v>
      </c>
      <c r="AF10" s="82">
        <f>Ruimtestaat[[#This Row],[uren / jaar weekend]]+Ruimtestaat[[#This Row],[uren / jaar werkdagen]]</f>
        <v>0</v>
      </c>
      <c r="AG10" s="83">
        <f>Ruimtestaat[[#This Row],[kosten / jaar weekend]]+Ruimtestaat[[#This Row],[kosten / jaar werkdagen]]</f>
        <v>0</v>
      </c>
      <c r="AH10" s="117"/>
      <c r="HL10" s="87"/>
    </row>
    <row r="11" spans="1:220" ht="15" customHeight="1">
      <c r="A11" s="136">
        <v>1</v>
      </c>
      <c r="B11" s="27" t="str">
        <f>VLOOKUP(Ruimtestaat[[#This Row],[Code]],Locaties[#All],2,FALSE)</f>
        <v>Amstelveen College</v>
      </c>
      <c r="C11" s="27" t="str">
        <f>VLOOKUP(Ruimtestaat[[#This Row],[Code]],Locaties[#All],4,FALSE)</f>
        <v>Sportlaan 27</v>
      </c>
      <c r="D11" s="27" t="str">
        <f>VLOOKUP(Ruimtestaat[[#This Row],[Code]],Locaties[#All],5,FALSE)</f>
        <v>1185 TB</v>
      </c>
      <c r="E11" s="27" t="str">
        <f>VLOOKUP(Ruimtestaat[[#This Row],[Code]],Locaties[#All],6,FALSE)</f>
        <v>Amstelveen</v>
      </c>
      <c r="F11" s="74"/>
      <c r="G11" s="27" t="s">
        <v>456</v>
      </c>
      <c r="H11" s="27" t="s">
        <v>460</v>
      </c>
      <c r="I11" s="24" t="s">
        <v>461</v>
      </c>
      <c r="J11" s="27">
        <v>8</v>
      </c>
      <c r="K11" s="74" t="str">
        <f>VLOOKUP(J11,Ruimtegroepen[],2,FALSE)</f>
        <v>Mediatheek / OLC</v>
      </c>
      <c r="L11" s="27" t="s">
        <v>114</v>
      </c>
      <c r="M11" s="27" t="s">
        <v>139</v>
      </c>
      <c r="N11" s="107">
        <v>107</v>
      </c>
      <c r="O11" s="107"/>
      <c r="P11" s="118" t="str">
        <f>LEFT(VLOOKUP(Ruimtestaat[[#This Row],[Ruimte code]],Ruimtegroepen[#All],4,1),2)</f>
        <v xml:space="preserve">L </v>
      </c>
      <c r="Q11" s="107"/>
      <c r="R11" s="108">
        <v>40</v>
      </c>
      <c r="S11" s="109" t="s">
        <v>18</v>
      </c>
      <c r="T11" s="110">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1" s="110">
        <f>IF(T11&gt;0,VLOOKUP($J11,Ruimtegroepen[],3,FALSE)*VLOOKUP($L11,Vloersoorten[],3,FALSE)*VLOOKUP($S11,Frequenties[],3,FALSE)*VLOOKUP($A11,Locaties[],3,FALSE),0)</f>
        <v>0</v>
      </c>
      <c r="V11" s="111">
        <f>Ruimtestaat[[#This Row],[Uitvoeringen werkdagen]]*Ruimtestaat[[#This Row],[Oppervlak (netto)]]</f>
        <v>12840</v>
      </c>
      <c r="W11" s="112">
        <f>IF(U11&gt;0,Ruimtestaat[[#This Row],[Prest. (m2 /jaar) werkdagen]]/Ruimtestaat[[#This Row],[Norm (m2/uur) werkdagen]],0)</f>
        <v>0</v>
      </c>
      <c r="X11" s="113">
        <f>Ruimtestaat[[#This Row],[uren / jaar werkdagen]]*Tariefsopbouw!$E$35</f>
        <v>0</v>
      </c>
      <c r="Y11" s="110"/>
      <c r="Z11" s="114">
        <f>IF(Ruimtestaat[[#This Row],[Frequentie weekend]]&gt;0,VALUE(LEFT(Y11,1))*R11,0)</f>
        <v>0</v>
      </c>
      <c r="AA11" s="110">
        <f>IF($Z11&gt;0,VLOOKUP($J11,Ruimtegroepen[],3,FALSE)*VLOOKUP($L11,Vloersoorten[],3,FALSE)*VLOOKUP($Y11,Frequenties[],3,FALSE)*VLOOKUP($A7,Locaties[],3,FALSE),0)</f>
        <v>0</v>
      </c>
      <c r="AB11" s="112">
        <f>Ruimtestaat[[#This Row],[Uitvoeringen weekend]]*Ruimtestaat[[#This Row],[Oppervlak (netto)]]</f>
        <v>0</v>
      </c>
      <c r="AC11" s="115">
        <f>IF(AB11&gt;0,Ruimtestaat[[#This Row],[Prest. (m2 /jaar) weekend]]/Ruimtestaat[[#This Row],[Norm (m2/uur) weekend]],0)</f>
        <v>0</v>
      </c>
      <c r="AD11" s="116">
        <f>Ruimtestaat[[#This Row],[uren / jaar weekend]]*Tariefsopbouw!$D$40</f>
        <v>0</v>
      </c>
      <c r="AE11" s="82">
        <f>Ruimtestaat[[#This Row],[Prest. (m2 /jaar) weekend]]+Ruimtestaat[[#This Row],[Prest. (m2 /jaar) werkdagen]]</f>
        <v>12840</v>
      </c>
      <c r="AF11" s="82">
        <f>Ruimtestaat[[#This Row],[uren / jaar weekend]]+Ruimtestaat[[#This Row],[uren / jaar werkdagen]]</f>
        <v>0</v>
      </c>
      <c r="AG11" s="83">
        <f>Ruimtestaat[[#This Row],[kosten / jaar weekend]]+Ruimtestaat[[#This Row],[kosten / jaar werkdagen]]</f>
        <v>0</v>
      </c>
      <c r="AH11" s="117"/>
      <c r="HL11" s="87"/>
    </row>
    <row r="12" spans="1:220" ht="15" customHeight="1">
      <c r="A12" s="136">
        <v>1</v>
      </c>
      <c r="B12" s="27" t="str">
        <f>VLOOKUP(Ruimtestaat[[#This Row],[Code]],Locaties[#All],2,FALSE)</f>
        <v>Amstelveen College</v>
      </c>
      <c r="C12" s="27" t="str">
        <f>VLOOKUP(Ruimtestaat[[#This Row],[Code]],Locaties[#All],4,FALSE)</f>
        <v>Sportlaan 27</v>
      </c>
      <c r="D12" s="27" t="str">
        <f>VLOOKUP(Ruimtestaat[[#This Row],[Code]],Locaties[#All],5,FALSE)</f>
        <v>1185 TB</v>
      </c>
      <c r="E12" s="27" t="str">
        <f>VLOOKUP(Ruimtestaat[[#This Row],[Code]],Locaties[#All],6,FALSE)</f>
        <v>Amstelveen</v>
      </c>
      <c r="F12" s="74"/>
      <c r="G12" s="27" t="s">
        <v>456</v>
      </c>
      <c r="H12" s="27" t="s">
        <v>462</v>
      </c>
      <c r="I12" s="24" t="s">
        <v>463</v>
      </c>
      <c r="J12" s="27">
        <v>12</v>
      </c>
      <c r="K12" s="74" t="str">
        <f>VLOOKUP(J12,Ruimtegroepen[],2,FALSE)</f>
        <v>Kantine</v>
      </c>
      <c r="L12" s="27" t="s">
        <v>115</v>
      </c>
      <c r="M12" s="27" t="s">
        <v>271</v>
      </c>
      <c r="N12" s="107">
        <v>142</v>
      </c>
      <c r="O12" s="107"/>
      <c r="P12" s="118" t="str">
        <f>LEFT(VLOOKUP(Ruimtestaat[[#This Row],[Ruimte code]],Ruimtegroepen[#All],4,1),2)</f>
        <v xml:space="preserve">V </v>
      </c>
      <c r="Q12" s="107"/>
      <c r="R12" s="108">
        <v>42</v>
      </c>
      <c r="S12" s="109" t="s">
        <v>2</v>
      </c>
      <c r="T12" s="110">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2" s="110">
        <f>IF(T12&gt;0,VLOOKUP($J12,Ruimtegroepen[],3,FALSE)*VLOOKUP($L12,Vloersoorten[],3,FALSE)*VLOOKUP($S12,Frequenties[],3,FALSE)*VLOOKUP($A12,Locaties[],3,FALSE),0)</f>
        <v>0</v>
      </c>
      <c r="V12" s="111">
        <f>Ruimtestaat[[#This Row],[Uitvoeringen werkdagen]]*Ruimtestaat[[#This Row],[Oppervlak (netto)]]</f>
        <v>29820</v>
      </c>
      <c r="W12" s="112">
        <f>IF(U12&gt;0,Ruimtestaat[[#This Row],[Prest. (m2 /jaar) werkdagen]]/Ruimtestaat[[#This Row],[Norm (m2/uur) werkdagen]],0)</f>
        <v>0</v>
      </c>
      <c r="X12" s="113">
        <f>Ruimtestaat[[#This Row],[uren / jaar werkdagen]]*Tariefsopbouw!$E$35</f>
        <v>0</v>
      </c>
      <c r="Y12" s="110"/>
      <c r="Z12" s="114">
        <f>IF(Ruimtestaat[[#This Row],[Frequentie weekend]]&gt;0,VALUE(LEFT(Y12,1))*R12,0)</f>
        <v>0</v>
      </c>
      <c r="AA12" s="110">
        <f>IF($Z12&gt;0,VLOOKUP($J12,Ruimtegroepen[],3,FALSE)*VLOOKUP($L12,Vloersoorten[],3,FALSE)*VLOOKUP($Y12,Frequenties[],3,FALSE)*VLOOKUP($A8,Locaties[],3,FALSE),0)</f>
        <v>0</v>
      </c>
      <c r="AB12" s="112">
        <f>Ruimtestaat[[#This Row],[Uitvoeringen weekend]]*Ruimtestaat[[#This Row],[Oppervlak (netto)]]</f>
        <v>0</v>
      </c>
      <c r="AC12" s="115">
        <f>IF(AB12&gt;0,Ruimtestaat[[#This Row],[Prest. (m2 /jaar) weekend]]/Ruimtestaat[[#This Row],[Norm (m2/uur) weekend]],0)</f>
        <v>0</v>
      </c>
      <c r="AD12" s="116">
        <f>Ruimtestaat[[#This Row],[uren / jaar weekend]]*Tariefsopbouw!$D$40</f>
        <v>0</v>
      </c>
      <c r="AE12" s="82">
        <f>Ruimtestaat[[#This Row],[Prest. (m2 /jaar) weekend]]+Ruimtestaat[[#This Row],[Prest. (m2 /jaar) werkdagen]]</f>
        <v>29820</v>
      </c>
      <c r="AF12" s="82">
        <f>Ruimtestaat[[#This Row],[uren / jaar weekend]]+Ruimtestaat[[#This Row],[uren / jaar werkdagen]]</f>
        <v>0</v>
      </c>
      <c r="AG12" s="83">
        <f>Ruimtestaat[[#This Row],[kosten / jaar weekend]]+Ruimtestaat[[#This Row],[kosten / jaar werkdagen]]</f>
        <v>0</v>
      </c>
      <c r="AH12" s="117"/>
      <c r="HL12" s="87"/>
    </row>
    <row r="13" spans="1:220" ht="15" customHeight="1">
      <c r="A13" s="136">
        <v>1</v>
      </c>
      <c r="B13" s="27" t="str">
        <f>VLOOKUP(Ruimtestaat[[#This Row],[Code]],Locaties[#All],2,FALSE)</f>
        <v>Amstelveen College</v>
      </c>
      <c r="C13" s="27" t="str">
        <f>VLOOKUP(Ruimtestaat[[#This Row],[Code]],Locaties[#All],4,FALSE)</f>
        <v>Sportlaan 27</v>
      </c>
      <c r="D13" s="27" t="str">
        <f>VLOOKUP(Ruimtestaat[[#This Row],[Code]],Locaties[#All],5,FALSE)</f>
        <v>1185 TB</v>
      </c>
      <c r="E13" s="27" t="str">
        <f>VLOOKUP(Ruimtestaat[[#This Row],[Code]],Locaties[#All],6,FALSE)</f>
        <v>Amstelveen</v>
      </c>
      <c r="F13" s="74"/>
      <c r="G13" s="27" t="s">
        <v>456</v>
      </c>
      <c r="H13" s="27" t="s">
        <v>424</v>
      </c>
      <c r="I13" s="24" t="s">
        <v>369</v>
      </c>
      <c r="J13" s="27">
        <v>6</v>
      </c>
      <c r="K13" s="74" t="str">
        <f>VLOOKUP(J13,Ruimtegroepen[],2,FALSE)</f>
        <v>Gangen/hallen</v>
      </c>
      <c r="L13" s="27" t="s">
        <v>114</v>
      </c>
      <c r="M13" s="27" t="s">
        <v>139</v>
      </c>
      <c r="N13" s="107">
        <v>56</v>
      </c>
      <c r="O13" s="107"/>
      <c r="P13" s="118" t="str">
        <f>LEFT(VLOOKUP(Ruimtestaat[[#This Row],[Ruimte code]],Ruimtegroepen[#All],4,1),2)</f>
        <v xml:space="preserve">V </v>
      </c>
      <c r="Q13" s="107"/>
      <c r="R13" s="108">
        <v>42</v>
      </c>
      <c r="S13" s="109" t="s">
        <v>2</v>
      </c>
      <c r="T13" s="110">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3" s="110">
        <f>IF(T13&gt;0,VLOOKUP($J13,Ruimtegroepen[],3,FALSE)*VLOOKUP($L13,Vloersoorten[],3,FALSE)*VLOOKUP($S13,Frequenties[],3,FALSE)*VLOOKUP($A13,Locaties[],3,FALSE),0)</f>
        <v>0</v>
      </c>
      <c r="V13" s="111">
        <f>Ruimtestaat[[#This Row],[Uitvoeringen werkdagen]]*Ruimtestaat[[#This Row],[Oppervlak (netto)]]</f>
        <v>11760</v>
      </c>
      <c r="W13" s="112">
        <f>IF(U13&gt;0,Ruimtestaat[[#This Row],[Prest. (m2 /jaar) werkdagen]]/Ruimtestaat[[#This Row],[Norm (m2/uur) werkdagen]],0)</f>
        <v>0</v>
      </c>
      <c r="X13" s="113">
        <f>Ruimtestaat[[#This Row],[uren / jaar werkdagen]]*Tariefsopbouw!$E$35</f>
        <v>0</v>
      </c>
      <c r="Y13" s="110"/>
      <c r="Z13" s="114">
        <f>IF(Ruimtestaat[[#This Row],[Frequentie weekend]]&gt;0,VALUE(LEFT(Y13,1))*R13,0)</f>
        <v>0</v>
      </c>
      <c r="AA13" s="110">
        <f>IF($Z13&gt;0,VLOOKUP($J13,Ruimtegroepen[],3,FALSE)*VLOOKUP($L13,Vloersoorten[],3,FALSE)*VLOOKUP($Y13,Frequenties[],3,FALSE)*VLOOKUP($A9,Locaties[],3,FALSE),0)</f>
        <v>0</v>
      </c>
      <c r="AB13" s="112">
        <f>Ruimtestaat[[#This Row],[Uitvoeringen weekend]]*Ruimtestaat[[#This Row],[Oppervlak (netto)]]</f>
        <v>0</v>
      </c>
      <c r="AC13" s="115">
        <f>IF(AB13&gt;0,Ruimtestaat[[#This Row],[Prest. (m2 /jaar) weekend]]/Ruimtestaat[[#This Row],[Norm (m2/uur) weekend]],0)</f>
        <v>0</v>
      </c>
      <c r="AD13" s="116">
        <f>Ruimtestaat[[#This Row],[uren / jaar weekend]]*Tariefsopbouw!$D$40</f>
        <v>0</v>
      </c>
      <c r="AE13" s="82">
        <f>Ruimtestaat[[#This Row],[Prest. (m2 /jaar) weekend]]+Ruimtestaat[[#This Row],[Prest. (m2 /jaar) werkdagen]]</f>
        <v>11760</v>
      </c>
      <c r="AF13" s="82">
        <f>Ruimtestaat[[#This Row],[uren / jaar weekend]]+Ruimtestaat[[#This Row],[uren / jaar werkdagen]]</f>
        <v>0</v>
      </c>
      <c r="AG13" s="83">
        <f>Ruimtestaat[[#This Row],[kosten / jaar weekend]]+Ruimtestaat[[#This Row],[kosten / jaar werkdagen]]</f>
        <v>0</v>
      </c>
      <c r="AH13" s="117"/>
      <c r="HL13" s="87"/>
    </row>
    <row r="14" spans="1:220" ht="15" customHeight="1">
      <c r="A14" s="136">
        <v>1</v>
      </c>
      <c r="B14" s="27" t="str">
        <f>VLOOKUP(Ruimtestaat[[#This Row],[Code]],Locaties[#All],2,FALSE)</f>
        <v>Amstelveen College</v>
      </c>
      <c r="C14" s="27" t="str">
        <f>VLOOKUP(Ruimtestaat[[#This Row],[Code]],Locaties[#All],4,FALSE)</f>
        <v>Sportlaan 27</v>
      </c>
      <c r="D14" s="27" t="str">
        <f>VLOOKUP(Ruimtestaat[[#This Row],[Code]],Locaties[#All],5,FALSE)</f>
        <v>1185 TB</v>
      </c>
      <c r="E14" s="27" t="str">
        <f>VLOOKUP(Ruimtestaat[[#This Row],[Code]],Locaties[#All],6,FALSE)</f>
        <v>Amstelveen</v>
      </c>
      <c r="F14" s="74"/>
      <c r="G14" s="27" t="s">
        <v>456</v>
      </c>
      <c r="H14" s="27" t="s">
        <v>426</v>
      </c>
      <c r="I14" s="24" t="s">
        <v>464</v>
      </c>
      <c r="J14" s="27">
        <v>5</v>
      </c>
      <c r="K14" s="74" t="str">
        <f>VLOOKUP(J14,Ruimtegroepen[],2,FALSE)</f>
        <v>Sanitair</v>
      </c>
      <c r="L14" s="27" t="s">
        <v>115</v>
      </c>
      <c r="M14" s="27" t="s">
        <v>271</v>
      </c>
      <c r="N14" s="107">
        <v>11</v>
      </c>
      <c r="O14" s="107"/>
      <c r="P14" s="118" t="str">
        <f>LEFT(VLOOKUP(Ruimtestaat[[#This Row],[Ruimte code]],Ruimtegroepen[#All],4,1),2)</f>
        <v xml:space="preserve">S </v>
      </c>
      <c r="Q14" s="107"/>
      <c r="R14" s="108">
        <v>42</v>
      </c>
      <c r="S14" s="109" t="s">
        <v>19</v>
      </c>
      <c r="T14" s="110">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4" s="110">
        <f>IF(T14&gt;0,VLOOKUP($J14,Ruimtegroepen[],3,FALSE)*VLOOKUP($L14,Vloersoorten[],3,FALSE)*VLOOKUP($S14,Frequenties[],3,FALSE)*VLOOKUP($A14,Locaties[],3,FALSE),0)</f>
        <v>0</v>
      </c>
      <c r="V14" s="111">
        <f>Ruimtestaat[[#This Row],[Uitvoeringen werkdagen]]*Ruimtestaat[[#This Row],[Oppervlak (netto)]]</f>
        <v>4620</v>
      </c>
      <c r="W14" s="112">
        <f>IF(U14&gt;0,Ruimtestaat[[#This Row],[Prest. (m2 /jaar) werkdagen]]/Ruimtestaat[[#This Row],[Norm (m2/uur) werkdagen]],0)</f>
        <v>0</v>
      </c>
      <c r="X14" s="113">
        <f>Ruimtestaat[[#This Row],[uren / jaar werkdagen]]*Tariefsopbouw!$E$35</f>
        <v>0</v>
      </c>
      <c r="Y14" s="110"/>
      <c r="Z14" s="114">
        <f>IF(Ruimtestaat[[#This Row],[Frequentie weekend]]&gt;0,VALUE(LEFT(Y14,1))*R14,0)</f>
        <v>0</v>
      </c>
      <c r="AA14" s="110">
        <f>IF($Z14&gt;0,VLOOKUP($J14,Ruimtegroepen[],3,FALSE)*VLOOKUP($L14,Vloersoorten[],3,FALSE)*VLOOKUP($Y14,Frequenties[],3,FALSE)*VLOOKUP($A10,Locaties[],3,FALSE),0)</f>
        <v>0</v>
      </c>
      <c r="AB14" s="112">
        <f>Ruimtestaat[[#This Row],[Uitvoeringen weekend]]*Ruimtestaat[[#This Row],[Oppervlak (netto)]]</f>
        <v>0</v>
      </c>
      <c r="AC14" s="115">
        <f>IF(AB14&gt;0,Ruimtestaat[[#This Row],[Prest. (m2 /jaar) weekend]]/Ruimtestaat[[#This Row],[Norm (m2/uur) weekend]],0)</f>
        <v>0</v>
      </c>
      <c r="AD14" s="116">
        <f>Ruimtestaat[[#This Row],[uren / jaar weekend]]*Tariefsopbouw!$D$40</f>
        <v>0</v>
      </c>
      <c r="AE14" s="82">
        <f>Ruimtestaat[[#This Row],[Prest. (m2 /jaar) weekend]]+Ruimtestaat[[#This Row],[Prest. (m2 /jaar) werkdagen]]</f>
        <v>4620</v>
      </c>
      <c r="AF14" s="82">
        <f>Ruimtestaat[[#This Row],[uren / jaar weekend]]+Ruimtestaat[[#This Row],[uren / jaar werkdagen]]</f>
        <v>0</v>
      </c>
      <c r="AG14" s="83">
        <f>Ruimtestaat[[#This Row],[kosten / jaar weekend]]+Ruimtestaat[[#This Row],[kosten / jaar werkdagen]]</f>
        <v>0</v>
      </c>
      <c r="AH14" s="117"/>
      <c r="HL14" s="87"/>
    </row>
    <row r="15" spans="1:220" ht="12.75" customHeight="1">
      <c r="A15" s="136">
        <v>1</v>
      </c>
      <c r="B15" s="27" t="str">
        <f>VLOOKUP(Ruimtestaat[[#This Row],[Code]],Locaties[#All],2,FALSE)</f>
        <v>Amstelveen College</v>
      </c>
      <c r="C15" s="27" t="str">
        <f>VLOOKUP(Ruimtestaat[[#This Row],[Code]],Locaties[#All],4,FALSE)</f>
        <v>Sportlaan 27</v>
      </c>
      <c r="D15" s="27" t="str">
        <f>VLOOKUP(Ruimtestaat[[#This Row],[Code]],Locaties[#All],5,FALSE)</f>
        <v>1185 TB</v>
      </c>
      <c r="E15" s="27" t="str">
        <f>VLOOKUP(Ruimtestaat[[#This Row],[Code]],Locaties[#All],6,FALSE)</f>
        <v>Amstelveen</v>
      </c>
      <c r="F15" s="74"/>
      <c r="G15" s="27" t="s">
        <v>456</v>
      </c>
      <c r="H15" s="27" t="s">
        <v>425</v>
      </c>
      <c r="I15" s="24" t="s">
        <v>465</v>
      </c>
      <c r="J15" s="27">
        <v>5</v>
      </c>
      <c r="K15" s="74" t="str">
        <f>VLOOKUP(J15,Ruimtegroepen[],2,FALSE)</f>
        <v>Sanitair</v>
      </c>
      <c r="L15" s="27" t="s">
        <v>115</v>
      </c>
      <c r="M15" s="27" t="s">
        <v>271</v>
      </c>
      <c r="N15" s="107">
        <v>7</v>
      </c>
      <c r="O15" s="107"/>
      <c r="P15" s="118" t="str">
        <f>LEFT(VLOOKUP(Ruimtestaat[[#This Row],[Ruimte code]],Ruimtegroepen[#All],4,1),2)</f>
        <v xml:space="preserve">S </v>
      </c>
      <c r="Q15" s="107"/>
      <c r="R15" s="108">
        <v>42</v>
      </c>
      <c r="S15" s="109" t="s">
        <v>19</v>
      </c>
      <c r="T15" s="110">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5" s="110">
        <f>IF(T15&gt;0,VLOOKUP($J15,Ruimtegroepen[],3,FALSE)*VLOOKUP($L15,Vloersoorten[],3,FALSE)*VLOOKUP($S15,Frequenties[],3,FALSE)*VLOOKUP($A15,Locaties[],3,FALSE),0)</f>
        <v>0</v>
      </c>
      <c r="V15" s="111">
        <f>Ruimtestaat[[#This Row],[Uitvoeringen werkdagen]]*Ruimtestaat[[#This Row],[Oppervlak (netto)]]</f>
        <v>2940</v>
      </c>
      <c r="W15" s="112">
        <f>IF(U15&gt;0,Ruimtestaat[[#This Row],[Prest. (m2 /jaar) werkdagen]]/Ruimtestaat[[#This Row],[Norm (m2/uur) werkdagen]],0)</f>
        <v>0</v>
      </c>
      <c r="X15" s="113">
        <f>Ruimtestaat[[#This Row],[uren / jaar werkdagen]]*Tariefsopbouw!$E$35</f>
        <v>0</v>
      </c>
      <c r="Y15" s="110"/>
      <c r="Z15" s="114">
        <f>IF(Ruimtestaat[[#This Row],[Frequentie weekend]]&gt;0,VALUE(LEFT(Y15,1))*R15,0)</f>
        <v>0</v>
      </c>
      <c r="AA15" s="110">
        <f>IF($Z15&gt;0,VLOOKUP($J15,Ruimtegroepen[],3,FALSE)*VLOOKUP($L15,Vloersoorten[],3,FALSE)*VLOOKUP($Y15,Frequenties[],3,FALSE)*VLOOKUP($A11,Locaties[],3,FALSE),0)</f>
        <v>0</v>
      </c>
      <c r="AB15" s="112">
        <f>Ruimtestaat[[#This Row],[Uitvoeringen weekend]]*Ruimtestaat[[#This Row],[Oppervlak (netto)]]</f>
        <v>0</v>
      </c>
      <c r="AC15" s="115">
        <f>IF(AB15&gt;0,Ruimtestaat[[#This Row],[Prest. (m2 /jaar) weekend]]/Ruimtestaat[[#This Row],[Norm (m2/uur) weekend]],0)</f>
        <v>0</v>
      </c>
      <c r="AD15" s="116">
        <f>Ruimtestaat[[#This Row],[uren / jaar weekend]]*Tariefsopbouw!$D$40</f>
        <v>0</v>
      </c>
      <c r="AE15" s="82">
        <f>Ruimtestaat[[#This Row],[Prest. (m2 /jaar) weekend]]+Ruimtestaat[[#This Row],[Prest. (m2 /jaar) werkdagen]]</f>
        <v>2940</v>
      </c>
      <c r="AF15" s="82">
        <f>Ruimtestaat[[#This Row],[uren / jaar weekend]]+Ruimtestaat[[#This Row],[uren / jaar werkdagen]]</f>
        <v>0</v>
      </c>
      <c r="AG15" s="83">
        <f>Ruimtestaat[[#This Row],[kosten / jaar weekend]]+Ruimtestaat[[#This Row],[kosten / jaar werkdagen]]</f>
        <v>0</v>
      </c>
      <c r="AH15" s="117"/>
      <c r="HL15" s="87"/>
    </row>
    <row r="16" spans="1:220" ht="15" customHeight="1">
      <c r="A16" s="136">
        <v>1</v>
      </c>
      <c r="B16" s="27" t="str">
        <f>VLOOKUP(Ruimtestaat[[#This Row],[Code]],Locaties[#All],2,FALSE)</f>
        <v>Amstelveen College</v>
      </c>
      <c r="C16" s="27" t="str">
        <f>VLOOKUP(Ruimtestaat[[#This Row],[Code]],Locaties[#All],4,FALSE)</f>
        <v>Sportlaan 27</v>
      </c>
      <c r="D16" s="27" t="str">
        <f>VLOOKUP(Ruimtestaat[[#This Row],[Code]],Locaties[#All],5,FALSE)</f>
        <v>1185 TB</v>
      </c>
      <c r="E16" s="27" t="str">
        <f>VLOOKUP(Ruimtestaat[[#This Row],[Code]],Locaties[#All],6,FALSE)</f>
        <v>Amstelveen</v>
      </c>
      <c r="F16" s="74"/>
      <c r="G16" s="27" t="s">
        <v>456</v>
      </c>
      <c r="H16" s="27" t="s">
        <v>466</v>
      </c>
      <c r="I16" s="24" t="s">
        <v>369</v>
      </c>
      <c r="J16" s="27">
        <v>6</v>
      </c>
      <c r="K16" s="74" t="str">
        <f>VLOOKUP(J16,Ruimtegroepen[],2,FALSE)</f>
        <v>Gangen/hallen</v>
      </c>
      <c r="L16" s="27" t="s">
        <v>114</v>
      </c>
      <c r="M16" s="27" t="s">
        <v>139</v>
      </c>
      <c r="N16" s="107">
        <v>62</v>
      </c>
      <c r="O16" s="107"/>
      <c r="P16" s="118" t="str">
        <f>LEFT(VLOOKUP(Ruimtestaat[[#This Row],[Ruimte code]],Ruimtegroepen[#All],4,1),2)</f>
        <v xml:space="preserve">V </v>
      </c>
      <c r="Q16" s="107"/>
      <c r="R16" s="108">
        <v>42</v>
      </c>
      <c r="S16" s="109" t="s">
        <v>2</v>
      </c>
      <c r="T16" s="110">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6" s="110">
        <f>IF(T16&gt;0,VLOOKUP($J16,Ruimtegroepen[],3,FALSE)*VLOOKUP($L16,Vloersoorten[],3,FALSE)*VLOOKUP($S16,Frequenties[],3,FALSE)*VLOOKUP($A16,Locaties[],3,FALSE),0)</f>
        <v>0</v>
      </c>
      <c r="V16" s="111">
        <f>Ruimtestaat[[#This Row],[Uitvoeringen werkdagen]]*Ruimtestaat[[#This Row],[Oppervlak (netto)]]</f>
        <v>13020</v>
      </c>
      <c r="W16" s="112">
        <f>IF(U16&gt;0,Ruimtestaat[[#This Row],[Prest. (m2 /jaar) werkdagen]]/Ruimtestaat[[#This Row],[Norm (m2/uur) werkdagen]],0)</f>
        <v>0</v>
      </c>
      <c r="X16" s="113">
        <f>Ruimtestaat[[#This Row],[uren / jaar werkdagen]]*Tariefsopbouw!$E$35</f>
        <v>0</v>
      </c>
      <c r="Y16" s="110"/>
      <c r="Z16" s="114">
        <f>IF(Ruimtestaat[[#This Row],[Frequentie weekend]]&gt;0,VALUE(LEFT(Y16,1))*R16,0)</f>
        <v>0</v>
      </c>
      <c r="AA16" s="110">
        <f>IF($Z16&gt;0,VLOOKUP($J16,Ruimtegroepen[],3,FALSE)*VLOOKUP($L16,Vloersoorten[],3,FALSE)*VLOOKUP($Y16,Frequenties[],3,FALSE)*VLOOKUP($A12,Locaties[],3,FALSE),0)</f>
        <v>0</v>
      </c>
      <c r="AB16" s="112">
        <f>Ruimtestaat[[#This Row],[Uitvoeringen weekend]]*Ruimtestaat[[#This Row],[Oppervlak (netto)]]</f>
        <v>0</v>
      </c>
      <c r="AC16" s="115">
        <f>IF(AB16&gt;0,Ruimtestaat[[#This Row],[Prest. (m2 /jaar) weekend]]/Ruimtestaat[[#This Row],[Norm (m2/uur) weekend]],0)</f>
        <v>0</v>
      </c>
      <c r="AD16" s="116">
        <f>Ruimtestaat[[#This Row],[uren / jaar weekend]]*Tariefsopbouw!$D$40</f>
        <v>0</v>
      </c>
      <c r="AE16" s="82">
        <f>Ruimtestaat[[#This Row],[Prest. (m2 /jaar) weekend]]+Ruimtestaat[[#This Row],[Prest. (m2 /jaar) werkdagen]]</f>
        <v>13020</v>
      </c>
      <c r="AF16" s="82">
        <f>Ruimtestaat[[#This Row],[uren / jaar weekend]]+Ruimtestaat[[#This Row],[uren / jaar werkdagen]]</f>
        <v>0</v>
      </c>
      <c r="AG16" s="83">
        <f>Ruimtestaat[[#This Row],[kosten / jaar weekend]]+Ruimtestaat[[#This Row],[kosten / jaar werkdagen]]</f>
        <v>0</v>
      </c>
      <c r="AH16" s="117"/>
      <c r="HL16" s="87"/>
    </row>
    <row r="17" spans="1:220" ht="15" customHeight="1">
      <c r="A17" s="136">
        <v>1</v>
      </c>
      <c r="B17" s="27" t="str">
        <f>VLOOKUP(Ruimtestaat[[#This Row],[Code]],Locaties[#All],2,FALSE)</f>
        <v>Amstelveen College</v>
      </c>
      <c r="C17" s="27" t="str">
        <f>VLOOKUP(Ruimtestaat[[#This Row],[Code]],Locaties[#All],4,FALSE)</f>
        <v>Sportlaan 27</v>
      </c>
      <c r="D17" s="27" t="str">
        <f>VLOOKUP(Ruimtestaat[[#This Row],[Code]],Locaties[#All],5,FALSE)</f>
        <v>1185 TB</v>
      </c>
      <c r="E17" s="27" t="str">
        <f>VLOOKUP(Ruimtestaat[[#This Row],[Code]],Locaties[#All],6,FALSE)</f>
        <v>Amstelveen</v>
      </c>
      <c r="F17" s="74"/>
      <c r="G17" s="27" t="s">
        <v>456</v>
      </c>
      <c r="H17" s="27" t="s">
        <v>467</v>
      </c>
      <c r="I17" s="24" t="s">
        <v>469</v>
      </c>
      <c r="J17" s="27">
        <v>20</v>
      </c>
      <c r="K17" s="74" t="str">
        <f>VLOOKUP(J17,Ruimtegroepen[],2,FALSE)</f>
        <v>Niet in onderhoud</v>
      </c>
      <c r="M17" s="27"/>
      <c r="N17" s="107"/>
      <c r="O17" s="107">
        <v>1</v>
      </c>
      <c r="P17" s="118" t="str">
        <f>LEFT(VLOOKUP(Ruimtestaat[[#This Row],[Ruimte code]],Ruimtegroepen[#All],4,1),2)</f>
        <v/>
      </c>
      <c r="Q17" s="107"/>
      <c r="R17" s="108"/>
      <c r="S17" s="109"/>
      <c r="T17" s="110">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 s="110">
        <f>IF(T17&gt;0,VLOOKUP($J17,Ruimtegroepen[],3,FALSE)*VLOOKUP($L17,Vloersoorten[],3,FALSE)*VLOOKUP($S17,Frequenties[],3,FALSE)*VLOOKUP($A17,Locaties[],3,FALSE),0)</f>
        <v>0</v>
      </c>
      <c r="V17" s="111">
        <f>Ruimtestaat[[#This Row],[Uitvoeringen werkdagen]]*Ruimtestaat[[#This Row],[Oppervlak (netto)]]</f>
        <v>0</v>
      </c>
      <c r="W17" s="112">
        <f>IF(U17&gt;0,Ruimtestaat[[#This Row],[Prest. (m2 /jaar) werkdagen]]/Ruimtestaat[[#This Row],[Norm (m2/uur) werkdagen]],0)</f>
        <v>0</v>
      </c>
      <c r="X17" s="113">
        <f>Ruimtestaat[[#This Row],[uren / jaar werkdagen]]*Tariefsopbouw!$E$35</f>
        <v>0</v>
      </c>
      <c r="Y17" s="110"/>
      <c r="Z17" s="114">
        <f>IF(Ruimtestaat[[#This Row],[Frequentie weekend]]&gt;0,VALUE(LEFT(Y17,1))*R17,0)</f>
        <v>0</v>
      </c>
      <c r="AA17" s="110">
        <f>IF($Z17&gt;0,VLOOKUP($J17,Ruimtegroepen[],3,FALSE)*VLOOKUP($L17,Vloersoorten[],3,FALSE)*VLOOKUP($Y17,Frequenties[],3,FALSE)*VLOOKUP($A13,Locaties[],3,FALSE),0)</f>
        <v>0</v>
      </c>
      <c r="AB17" s="112">
        <f>Ruimtestaat[[#This Row],[Uitvoeringen weekend]]*Ruimtestaat[[#This Row],[Oppervlak (netto)]]</f>
        <v>0</v>
      </c>
      <c r="AC17" s="115">
        <f>IF(AB17&gt;0,Ruimtestaat[[#This Row],[Prest. (m2 /jaar) weekend]]/Ruimtestaat[[#This Row],[Norm (m2/uur) weekend]],0)</f>
        <v>0</v>
      </c>
      <c r="AD17" s="116">
        <f>Ruimtestaat[[#This Row],[uren / jaar weekend]]*Tariefsopbouw!$D$40</f>
        <v>0</v>
      </c>
      <c r="AE17" s="82">
        <f>Ruimtestaat[[#This Row],[Prest. (m2 /jaar) weekend]]+Ruimtestaat[[#This Row],[Prest. (m2 /jaar) werkdagen]]</f>
        <v>0</v>
      </c>
      <c r="AF17" s="82">
        <f>Ruimtestaat[[#This Row],[uren / jaar weekend]]+Ruimtestaat[[#This Row],[uren / jaar werkdagen]]</f>
        <v>0</v>
      </c>
      <c r="AG17" s="83">
        <f>Ruimtestaat[[#This Row],[kosten / jaar weekend]]+Ruimtestaat[[#This Row],[kosten / jaar werkdagen]]</f>
        <v>0</v>
      </c>
      <c r="AH17" s="117"/>
      <c r="HL17" s="87"/>
    </row>
    <row r="18" spans="1:220" ht="15" customHeight="1">
      <c r="A18" s="136">
        <v>1</v>
      </c>
      <c r="B18" s="27" t="str">
        <f>VLOOKUP(Ruimtestaat[[#This Row],[Code]],Locaties[#All],2,FALSE)</f>
        <v>Amstelveen College</v>
      </c>
      <c r="C18" s="27" t="str">
        <f>VLOOKUP(Ruimtestaat[[#This Row],[Code]],Locaties[#All],4,FALSE)</f>
        <v>Sportlaan 27</v>
      </c>
      <c r="D18" s="27" t="str">
        <f>VLOOKUP(Ruimtestaat[[#This Row],[Code]],Locaties[#All],5,FALSE)</f>
        <v>1185 TB</v>
      </c>
      <c r="E18" s="27" t="str">
        <f>VLOOKUP(Ruimtestaat[[#This Row],[Code]],Locaties[#All],6,FALSE)</f>
        <v>Amstelveen</v>
      </c>
      <c r="F18" s="74"/>
      <c r="G18" s="27" t="s">
        <v>456</v>
      </c>
      <c r="H18" s="27" t="s">
        <v>422</v>
      </c>
      <c r="I18" s="24" t="s">
        <v>468</v>
      </c>
      <c r="J18" s="27">
        <v>20</v>
      </c>
      <c r="K18" s="74" t="str">
        <f>VLOOKUP(J18,Ruimtegroepen[],2,FALSE)</f>
        <v>Niet in onderhoud</v>
      </c>
      <c r="M18" s="27"/>
      <c r="N18" s="107"/>
      <c r="O18" s="107">
        <v>35</v>
      </c>
      <c r="P18" s="118" t="str">
        <f>LEFT(VLOOKUP(Ruimtestaat[[#This Row],[Ruimte code]],Ruimtegroepen[#All],4,1),2)</f>
        <v/>
      </c>
      <c r="Q18" s="107"/>
      <c r="R18" s="108"/>
      <c r="S18" s="109"/>
      <c r="T18" s="110">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 s="110">
        <f>IF(T18&gt;0,VLOOKUP($J18,Ruimtegroepen[],3,FALSE)*VLOOKUP($L18,Vloersoorten[],3,FALSE)*VLOOKUP($S18,Frequenties[],3,FALSE)*VLOOKUP($A18,Locaties[],3,FALSE),0)</f>
        <v>0</v>
      </c>
      <c r="V18" s="111">
        <f>Ruimtestaat[[#This Row],[Uitvoeringen werkdagen]]*Ruimtestaat[[#This Row],[Oppervlak (netto)]]</f>
        <v>0</v>
      </c>
      <c r="W18" s="112">
        <f>IF(U18&gt;0,Ruimtestaat[[#This Row],[Prest. (m2 /jaar) werkdagen]]/Ruimtestaat[[#This Row],[Norm (m2/uur) werkdagen]],0)</f>
        <v>0</v>
      </c>
      <c r="X18" s="113">
        <f>Ruimtestaat[[#This Row],[uren / jaar werkdagen]]*Tariefsopbouw!$E$35</f>
        <v>0</v>
      </c>
      <c r="Y18" s="110"/>
      <c r="Z18" s="114">
        <f>IF(Ruimtestaat[[#This Row],[Frequentie weekend]]&gt;0,VALUE(LEFT(Y18,1))*R18,0)</f>
        <v>0</v>
      </c>
      <c r="AA18" s="110">
        <f>IF($Z18&gt;0,VLOOKUP($J18,Ruimtegroepen[],3,FALSE)*VLOOKUP($L18,Vloersoorten[],3,FALSE)*VLOOKUP($Y18,Frequenties[],3,FALSE)*VLOOKUP($A14,Locaties[],3,FALSE),0)</f>
        <v>0</v>
      </c>
      <c r="AB18" s="112">
        <f>Ruimtestaat[[#This Row],[Uitvoeringen weekend]]*Ruimtestaat[[#This Row],[Oppervlak (netto)]]</f>
        <v>0</v>
      </c>
      <c r="AC18" s="115">
        <f>IF(AB18&gt;0,Ruimtestaat[[#This Row],[Prest. (m2 /jaar) weekend]]/Ruimtestaat[[#This Row],[Norm (m2/uur) weekend]],0)</f>
        <v>0</v>
      </c>
      <c r="AD18" s="116">
        <f>Ruimtestaat[[#This Row],[uren / jaar weekend]]*Tariefsopbouw!$D$40</f>
        <v>0</v>
      </c>
      <c r="AE18" s="82">
        <f>Ruimtestaat[[#This Row],[Prest. (m2 /jaar) weekend]]+Ruimtestaat[[#This Row],[Prest. (m2 /jaar) werkdagen]]</f>
        <v>0</v>
      </c>
      <c r="AF18" s="82">
        <f>Ruimtestaat[[#This Row],[uren / jaar weekend]]+Ruimtestaat[[#This Row],[uren / jaar werkdagen]]</f>
        <v>0</v>
      </c>
      <c r="AG18" s="83">
        <f>Ruimtestaat[[#This Row],[kosten / jaar weekend]]+Ruimtestaat[[#This Row],[kosten / jaar werkdagen]]</f>
        <v>0</v>
      </c>
      <c r="AH18" s="117"/>
      <c r="HL18" s="87"/>
    </row>
    <row r="19" spans="1:220" ht="15" customHeight="1">
      <c r="A19" s="136">
        <v>1</v>
      </c>
      <c r="B19" s="27" t="str">
        <f>VLOOKUP(Ruimtestaat[[#This Row],[Code]],Locaties[#All],2,FALSE)</f>
        <v>Amstelveen College</v>
      </c>
      <c r="C19" s="27" t="str">
        <f>VLOOKUP(Ruimtestaat[[#This Row],[Code]],Locaties[#All],4,FALSE)</f>
        <v>Sportlaan 27</v>
      </c>
      <c r="D19" s="27" t="str">
        <f>VLOOKUP(Ruimtestaat[[#This Row],[Code]],Locaties[#All],5,FALSE)</f>
        <v>1185 TB</v>
      </c>
      <c r="E19" s="27" t="str">
        <f>VLOOKUP(Ruimtestaat[[#This Row],[Code]],Locaties[#All],6,FALSE)</f>
        <v>Amstelveen</v>
      </c>
      <c r="F19" s="74"/>
      <c r="G19" s="27" t="s">
        <v>456</v>
      </c>
      <c r="H19" s="27" t="s">
        <v>423</v>
      </c>
      <c r="I19" s="24" t="s">
        <v>470</v>
      </c>
      <c r="J19" s="27">
        <v>20</v>
      </c>
      <c r="K19" s="74" t="str">
        <f>VLOOKUP(J19,Ruimtegroepen[],2,FALSE)</f>
        <v>Niet in onderhoud</v>
      </c>
      <c r="M19" s="27"/>
      <c r="N19" s="107"/>
      <c r="O19" s="107">
        <v>58</v>
      </c>
      <c r="P19" s="118" t="str">
        <f>LEFT(VLOOKUP(Ruimtestaat[[#This Row],[Ruimte code]],Ruimtegroepen[#All],4,1),2)</f>
        <v/>
      </c>
      <c r="Q19" s="107"/>
      <c r="R19" s="108"/>
      <c r="S19" s="109"/>
      <c r="T19" s="110">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 s="110">
        <f>IF(T19&gt;0,VLOOKUP($J19,Ruimtegroepen[],3,FALSE)*VLOOKUP($L19,Vloersoorten[],3,FALSE)*VLOOKUP($S19,Frequenties[],3,FALSE)*VLOOKUP($A19,Locaties[],3,FALSE),0)</f>
        <v>0</v>
      </c>
      <c r="V19" s="111">
        <f>Ruimtestaat[[#This Row],[Uitvoeringen werkdagen]]*Ruimtestaat[[#This Row],[Oppervlak (netto)]]</f>
        <v>0</v>
      </c>
      <c r="W19" s="112">
        <f>IF(U19&gt;0,Ruimtestaat[[#This Row],[Prest. (m2 /jaar) werkdagen]]/Ruimtestaat[[#This Row],[Norm (m2/uur) werkdagen]],0)</f>
        <v>0</v>
      </c>
      <c r="X19" s="113">
        <f>Ruimtestaat[[#This Row],[uren / jaar werkdagen]]*Tariefsopbouw!$E$35</f>
        <v>0</v>
      </c>
      <c r="Y19" s="110"/>
      <c r="Z19" s="114">
        <f>IF(Ruimtestaat[[#This Row],[Frequentie weekend]]&gt;0,VALUE(LEFT(Y19,1))*R19,0)</f>
        <v>0</v>
      </c>
      <c r="AA19" s="110">
        <f>IF($Z19&gt;0,VLOOKUP($J19,Ruimtegroepen[],3,FALSE)*VLOOKUP($L19,Vloersoorten[],3,FALSE)*VLOOKUP($Y19,Frequenties[],3,FALSE)*VLOOKUP($A15,Locaties[],3,FALSE),0)</f>
        <v>0</v>
      </c>
      <c r="AB19" s="112">
        <f>Ruimtestaat[[#This Row],[Uitvoeringen weekend]]*Ruimtestaat[[#This Row],[Oppervlak (netto)]]</f>
        <v>0</v>
      </c>
      <c r="AC19" s="115">
        <f>IF(AB19&gt;0,Ruimtestaat[[#This Row],[Prest. (m2 /jaar) weekend]]/Ruimtestaat[[#This Row],[Norm (m2/uur) weekend]],0)</f>
        <v>0</v>
      </c>
      <c r="AD19" s="116">
        <f>Ruimtestaat[[#This Row],[uren / jaar weekend]]*Tariefsopbouw!$D$40</f>
        <v>0</v>
      </c>
      <c r="AE19" s="82">
        <f>Ruimtestaat[[#This Row],[Prest. (m2 /jaar) weekend]]+Ruimtestaat[[#This Row],[Prest. (m2 /jaar) werkdagen]]</f>
        <v>0</v>
      </c>
      <c r="AF19" s="82">
        <f>Ruimtestaat[[#This Row],[uren / jaar weekend]]+Ruimtestaat[[#This Row],[uren / jaar werkdagen]]</f>
        <v>0</v>
      </c>
      <c r="AG19" s="83">
        <f>Ruimtestaat[[#This Row],[kosten / jaar weekend]]+Ruimtestaat[[#This Row],[kosten / jaar werkdagen]]</f>
        <v>0</v>
      </c>
      <c r="AH19" s="117"/>
      <c r="HL19" s="87"/>
    </row>
    <row r="20" spans="1:220" ht="15" customHeight="1">
      <c r="A20" s="136">
        <v>1</v>
      </c>
      <c r="B20" s="27" t="str">
        <f>VLOOKUP(Ruimtestaat[[#This Row],[Code]],Locaties[#All],2,FALSE)</f>
        <v>Amstelveen College</v>
      </c>
      <c r="C20" s="27" t="str">
        <f>VLOOKUP(Ruimtestaat[[#This Row],[Code]],Locaties[#All],4,FALSE)</f>
        <v>Sportlaan 27</v>
      </c>
      <c r="D20" s="27" t="str">
        <f>VLOOKUP(Ruimtestaat[[#This Row],[Code]],Locaties[#All],5,FALSE)</f>
        <v>1185 TB</v>
      </c>
      <c r="E20" s="27" t="str">
        <f>VLOOKUP(Ruimtestaat[[#This Row],[Code]],Locaties[#All],6,FALSE)</f>
        <v>Amstelveen</v>
      </c>
      <c r="F20" s="74"/>
      <c r="G20" s="27" t="s">
        <v>456</v>
      </c>
      <c r="H20" s="27" t="s">
        <v>427</v>
      </c>
      <c r="I20" s="24" t="s">
        <v>367</v>
      </c>
      <c r="J20" s="27">
        <v>20</v>
      </c>
      <c r="K20" s="74" t="str">
        <f>VLOOKUP(J20,Ruimtegroepen[],2,FALSE)</f>
        <v>Niet in onderhoud</v>
      </c>
      <c r="M20" s="27"/>
      <c r="N20" s="107"/>
      <c r="O20" s="107">
        <v>16</v>
      </c>
      <c r="P20" s="118" t="str">
        <f>LEFT(VLOOKUP(Ruimtestaat[[#This Row],[Ruimte code]],Ruimtegroepen[#All],4,1),2)</f>
        <v/>
      </c>
      <c r="Q20" s="107"/>
      <c r="R20" s="108"/>
      <c r="S20" s="109"/>
      <c r="T20" s="110">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 s="110">
        <f>IF(T20&gt;0,VLOOKUP($J20,Ruimtegroepen[],3,FALSE)*VLOOKUP($L20,Vloersoorten[],3,FALSE)*VLOOKUP($S20,Frequenties[],3,FALSE)*VLOOKUP($A20,Locaties[],3,FALSE),0)</f>
        <v>0</v>
      </c>
      <c r="V20" s="111">
        <f>Ruimtestaat[[#This Row],[Uitvoeringen werkdagen]]*Ruimtestaat[[#This Row],[Oppervlak (netto)]]</f>
        <v>0</v>
      </c>
      <c r="W20" s="112">
        <f>IF(U20&gt;0,Ruimtestaat[[#This Row],[Prest. (m2 /jaar) werkdagen]]/Ruimtestaat[[#This Row],[Norm (m2/uur) werkdagen]],0)</f>
        <v>0</v>
      </c>
      <c r="X20" s="113">
        <f>Ruimtestaat[[#This Row],[uren / jaar werkdagen]]*Tariefsopbouw!$E$35</f>
        <v>0</v>
      </c>
      <c r="Y20" s="110"/>
      <c r="Z20" s="114">
        <f>IF(Ruimtestaat[[#This Row],[Frequentie weekend]]&gt;0,VALUE(LEFT(Y20,1))*R20,0)</f>
        <v>0</v>
      </c>
      <c r="AA20" s="110">
        <f>IF($Z20&gt;0,VLOOKUP($J20,Ruimtegroepen[],3,FALSE)*VLOOKUP($L20,Vloersoorten[],3,FALSE)*VLOOKUP($Y20,Frequenties[],3,FALSE)*VLOOKUP($A16,Locaties[],3,FALSE),0)</f>
        <v>0</v>
      </c>
      <c r="AB20" s="112">
        <f>Ruimtestaat[[#This Row],[Uitvoeringen weekend]]*Ruimtestaat[[#This Row],[Oppervlak (netto)]]</f>
        <v>0</v>
      </c>
      <c r="AC20" s="115">
        <f>IF(AB20&gt;0,Ruimtestaat[[#This Row],[Prest. (m2 /jaar) weekend]]/Ruimtestaat[[#This Row],[Norm (m2/uur) weekend]],0)</f>
        <v>0</v>
      </c>
      <c r="AD20" s="116">
        <f>Ruimtestaat[[#This Row],[uren / jaar weekend]]*Tariefsopbouw!$D$40</f>
        <v>0</v>
      </c>
      <c r="AE20" s="82">
        <f>Ruimtestaat[[#This Row],[Prest. (m2 /jaar) weekend]]+Ruimtestaat[[#This Row],[Prest. (m2 /jaar) werkdagen]]</f>
        <v>0</v>
      </c>
      <c r="AF20" s="82">
        <f>Ruimtestaat[[#This Row],[uren / jaar weekend]]+Ruimtestaat[[#This Row],[uren / jaar werkdagen]]</f>
        <v>0</v>
      </c>
      <c r="AG20" s="83">
        <f>Ruimtestaat[[#This Row],[kosten / jaar weekend]]+Ruimtestaat[[#This Row],[kosten / jaar werkdagen]]</f>
        <v>0</v>
      </c>
      <c r="AH20" s="117"/>
      <c r="HL20" s="87"/>
    </row>
    <row r="21" spans="1:220" ht="15" customHeight="1">
      <c r="A21" s="136">
        <v>1</v>
      </c>
      <c r="B21" s="27" t="str">
        <f>VLOOKUP(Ruimtestaat[[#This Row],[Code]],Locaties[#All],2,FALSE)</f>
        <v>Amstelveen College</v>
      </c>
      <c r="C21" s="27" t="str">
        <f>VLOOKUP(Ruimtestaat[[#This Row],[Code]],Locaties[#All],4,FALSE)</f>
        <v>Sportlaan 27</v>
      </c>
      <c r="D21" s="27" t="str">
        <f>VLOOKUP(Ruimtestaat[[#This Row],[Code]],Locaties[#All],5,FALSE)</f>
        <v>1185 TB</v>
      </c>
      <c r="E21" s="27" t="str">
        <f>VLOOKUP(Ruimtestaat[[#This Row],[Code]],Locaties[#All],6,FALSE)</f>
        <v>Amstelveen</v>
      </c>
      <c r="F21" s="74"/>
      <c r="G21" s="27" t="s">
        <v>456</v>
      </c>
      <c r="H21" s="27" t="s">
        <v>421</v>
      </c>
      <c r="I21" s="24" t="s">
        <v>437</v>
      </c>
      <c r="J21" s="27">
        <v>13</v>
      </c>
      <c r="K21" s="74" t="str">
        <f>VLOOKUP(J21,Ruimtegroepen[],2,FALSE)</f>
        <v>HV/Technieklokaal</v>
      </c>
      <c r="L21" s="27" t="s">
        <v>114</v>
      </c>
      <c r="M21" s="27" t="s">
        <v>139</v>
      </c>
      <c r="N21" s="107">
        <v>106</v>
      </c>
      <c r="O21" s="107"/>
      <c r="P21" s="118" t="str">
        <f>LEFT(VLOOKUP(Ruimtestaat[[#This Row],[Ruimte code]],Ruimtegroepen[#All],4,1),2)</f>
        <v xml:space="preserve">L </v>
      </c>
      <c r="Q21" s="107"/>
      <c r="R21" s="108">
        <v>40</v>
      </c>
      <c r="S21" s="109" t="s">
        <v>18</v>
      </c>
      <c r="T21" s="110">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 s="110">
        <f>IF(T21&gt;0,VLOOKUP($J21,Ruimtegroepen[],3,FALSE)*VLOOKUP($L21,Vloersoorten[],3,FALSE)*VLOOKUP($S21,Frequenties[],3,FALSE)*VLOOKUP($A21,Locaties[],3,FALSE),0)</f>
        <v>0</v>
      </c>
      <c r="V21" s="111">
        <f>Ruimtestaat[[#This Row],[Uitvoeringen werkdagen]]*Ruimtestaat[[#This Row],[Oppervlak (netto)]]</f>
        <v>12720</v>
      </c>
      <c r="W21" s="112">
        <f>IF(U21&gt;0,Ruimtestaat[[#This Row],[Prest. (m2 /jaar) werkdagen]]/Ruimtestaat[[#This Row],[Norm (m2/uur) werkdagen]],0)</f>
        <v>0</v>
      </c>
      <c r="X21" s="113">
        <f>Ruimtestaat[[#This Row],[uren / jaar werkdagen]]*Tariefsopbouw!$E$35</f>
        <v>0</v>
      </c>
      <c r="Y21" s="110"/>
      <c r="Z21" s="114">
        <f>IF(Ruimtestaat[[#This Row],[Frequentie weekend]]&gt;0,VALUE(LEFT(Y21,1))*R21,0)</f>
        <v>0</v>
      </c>
      <c r="AA21" s="110">
        <f>IF($Z21&gt;0,VLOOKUP($J21,Ruimtegroepen[],3,FALSE)*VLOOKUP($L21,Vloersoorten[],3,FALSE)*VLOOKUP($Y21,Frequenties[],3,FALSE)*VLOOKUP($A16,Locaties[],3,FALSE),0)</f>
        <v>0</v>
      </c>
      <c r="AB21" s="112">
        <f>Ruimtestaat[[#This Row],[Uitvoeringen weekend]]*Ruimtestaat[[#This Row],[Oppervlak (netto)]]</f>
        <v>0</v>
      </c>
      <c r="AC21" s="115">
        <f>IF(AB21&gt;0,Ruimtestaat[[#This Row],[Prest. (m2 /jaar) weekend]]/Ruimtestaat[[#This Row],[Norm (m2/uur) weekend]],0)</f>
        <v>0</v>
      </c>
      <c r="AD21" s="116">
        <f>Ruimtestaat[[#This Row],[uren / jaar weekend]]*Tariefsopbouw!$D$40</f>
        <v>0</v>
      </c>
      <c r="AE21" s="82">
        <f>Ruimtestaat[[#This Row],[Prest. (m2 /jaar) weekend]]+Ruimtestaat[[#This Row],[Prest. (m2 /jaar) werkdagen]]</f>
        <v>12720</v>
      </c>
      <c r="AF21" s="82">
        <f>Ruimtestaat[[#This Row],[uren / jaar weekend]]+Ruimtestaat[[#This Row],[uren / jaar werkdagen]]</f>
        <v>0</v>
      </c>
      <c r="AG21" s="83">
        <f>Ruimtestaat[[#This Row],[kosten / jaar weekend]]+Ruimtestaat[[#This Row],[kosten / jaar werkdagen]]</f>
        <v>0</v>
      </c>
      <c r="AH21" s="117"/>
      <c r="HL21" s="87"/>
    </row>
    <row r="22" spans="1:220" ht="15" customHeight="1">
      <c r="A22" s="136">
        <v>1</v>
      </c>
      <c r="B22" s="27" t="str">
        <f>VLOOKUP(Ruimtestaat[[#This Row],[Code]],Locaties[#All],2,FALSE)</f>
        <v>Amstelveen College</v>
      </c>
      <c r="C22" s="27" t="str">
        <f>VLOOKUP(Ruimtestaat[[#This Row],[Code]],Locaties[#All],4,FALSE)</f>
        <v>Sportlaan 27</v>
      </c>
      <c r="D22" s="27" t="str">
        <f>VLOOKUP(Ruimtestaat[[#This Row],[Code]],Locaties[#All],5,FALSE)</f>
        <v>1185 TB</v>
      </c>
      <c r="E22" s="27" t="str">
        <f>VLOOKUP(Ruimtestaat[[#This Row],[Code]],Locaties[#All],6,FALSE)</f>
        <v>Amstelveen</v>
      </c>
      <c r="F22" s="74"/>
      <c r="G22" s="27" t="s">
        <v>456</v>
      </c>
      <c r="H22" s="27" t="s">
        <v>420</v>
      </c>
      <c r="I22" s="24" t="s">
        <v>436</v>
      </c>
      <c r="J22" s="27">
        <v>20</v>
      </c>
      <c r="K22" s="74" t="str">
        <f>VLOOKUP(J22,Ruimtegroepen[],2,FALSE)</f>
        <v>Niet in onderhoud</v>
      </c>
      <c r="M22" s="27"/>
      <c r="N22" s="107"/>
      <c r="O22" s="107">
        <v>53</v>
      </c>
      <c r="P22" s="118" t="str">
        <f>LEFT(VLOOKUP(Ruimtestaat[[#This Row],[Ruimte code]],Ruimtegroepen[#All],4,1),2)</f>
        <v/>
      </c>
      <c r="Q22" s="107"/>
      <c r="R22" s="108"/>
      <c r="S22" s="109"/>
      <c r="T22" s="110">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 s="110">
        <f>IF(T22&gt;0,VLOOKUP($J22,Ruimtegroepen[],3,FALSE)*VLOOKUP($L22,Vloersoorten[],3,FALSE)*VLOOKUP($S22,Frequenties[],3,FALSE)*VLOOKUP($A22,Locaties[],3,FALSE),0)</f>
        <v>0</v>
      </c>
      <c r="V22" s="111">
        <f>Ruimtestaat[[#This Row],[Uitvoeringen werkdagen]]*Ruimtestaat[[#This Row],[Oppervlak (netto)]]</f>
        <v>0</v>
      </c>
      <c r="W22" s="112">
        <f>IF(U22&gt;0,Ruimtestaat[[#This Row],[Prest. (m2 /jaar) werkdagen]]/Ruimtestaat[[#This Row],[Norm (m2/uur) werkdagen]],0)</f>
        <v>0</v>
      </c>
      <c r="X22" s="113">
        <f>Ruimtestaat[[#This Row],[uren / jaar werkdagen]]*Tariefsopbouw!$E$35</f>
        <v>0</v>
      </c>
      <c r="Y22" s="110"/>
      <c r="Z22" s="114">
        <f>IF(Ruimtestaat[[#This Row],[Frequentie weekend]]&gt;0,VALUE(LEFT(Y22,1))*R22,0)</f>
        <v>0</v>
      </c>
      <c r="AA22" s="110">
        <f>IF($Z22&gt;0,VLOOKUP($J22,Ruimtegroepen[],3,FALSE)*VLOOKUP($L22,Vloersoorten[],3,FALSE)*VLOOKUP($Y22,Frequenties[],3,FALSE)*VLOOKUP($A17,Locaties[],3,FALSE),0)</f>
        <v>0</v>
      </c>
      <c r="AB22" s="112">
        <f>Ruimtestaat[[#This Row],[Uitvoeringen weekend]]*Ruimtestaat[[#This Row],[Oppervlak (netto)]]</f>
        <v>0</v>
      </c>
      <c r="AC22" s="115">
        <f>IF(AB22&gt;0,Ruimtestaat[[#This Row],[Prest. (m2 /jaar) weekend]]/Ruimtestaat[[#This Row],[Norm (m2/uur) weekend]],0)</f>
        <v>0</v>
      </c>
      <c r="AD22" s="116">
        <f>Ruimtestaat[[#This Row],[uren / jaar weekend]]*Tariefsopbouw!$D$40</f>
        <v>0</v>
      </c>
      <c r="AE22" s="82">
        <f>Ruimtestaat[[#This Row],[Prest. (m2 /jaar) weekend]]+Ruimtestaat[[#This Row],[Prest. (m2 /jaar) werkdagen]]</f>
        <v>0</v>
      </c>
      <c r="AF22" s="82">
        <f>Ruimtestaat[[#This Row],[uren / jaar weekend]]+Ruimtestaat[[#This Row],[uren / jaar werkdagen]]</f>
        <v>0</v>
      </c>
      <c r="AG22" s="83">
        <f>Ruimtestaat[[#This Row],[kosten / jaar weekend]]+Ruimtestaat[[#This Row],[kosten / jaar werkdagen]]</f>
        <v>0</v>
      </c>
      <c r="AH22" s="117"/>
      <c r="HL22" s="87"/>
    </row>
    <row r="23" spans="1:220" ht="15" customHeight="1">
      <c r="A23" s="136">
        <v>1</v>
      </c>
      <c r="B23" s="27" t="str">
        <f>VLOOKUP(Ruimtestaat[[#This Row],[Code]],Locaties[#All],2,FALSE)</f>
        <v>Amstelveen College</v>
      </c>
      <c r="C23" s="27" t="str">
        <f>VLOOKUP(Ruimtestaat[[#This Row],[Code]],Locaties[#All],4,FALSE)</f>
        <v>Sportlaan 27</v>
      </c>
      <c r="D23" s="27" t="str">
        <f>VLOOKUP(Ruimtestaat[[#This Row],[Code]],Locaties[#All],5,FALSE)</f>
        <v>1185 TB</v>
      </c>
      <c r="E23" s="27" t="str">
        <f>VLOOKUP(Ruimtestaat[[#This Row],[Code]],Locaties[#All],6,FALSE)</f>
        <v>Amstelveen</v>
      </c>
      <c r="F23" s="74"/>
      <c r="G23" s="27" t="s">
        <v>456</v>
      </c>
      <c r="H23" s="27" t="s">
        <v>419</v>
      </c>
      <c r="I23" s="24" t="s">
        <v>435</v>
      </c>
      <c r="J23" s="27">
        <v>20</v>
      </c>
      <c r="K23" s="74" t="str">
        <f>VLOOKUP(J23,Ruimtegroepen[],2,FALSE)</f>
        <v>Niet in onderhoud</v>
      </c>
      <c r="M23" s="27"/>
      <c r="N23" s="107"/>
      <c r="O23" s="107">
        <v>33</v>
      </c>
      <c r="P23" s="118" t="str">
        <f>LEFT(VLOOKUP(Ruimtestaat[[#This Row],[Ruimte code]],Ruimtegroepen[#All],4,1),2)</f>
        <v/>
      </c>
      <c r="Q23" s="107"/>
      <c r="R23" s="108"/>
      <c r="S23" s="109"/>
      <c r="T23" s="110">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 s="110">
        <f>IF(T23&gt;0,VLOOKUP($J23,Ruimtegroepen[],3,FALSE)*VLOOKUP($L23,Vloersoorten[],3,FALSE)*VLOOKUP($S23,Frequenties[],3,FALSE)*VLOOKUP($A23,Locaties[],3,FALSE),0)</f>
        <v>0</v>
      </c>
      <c r="V23" s="111">
        <f>Ruimtestaat[[#This Row],[Uitvoeringen werkdagen]]*Ruimtestaat[[#This Row],[Oppervlak (netto)]]</f>
        <v>0</v>
      </c>
      <c r="W23" s="112">
        <f>IF(U23&gt;0,Ruimtestaat[[#This Row],[Prest. (m2 /jaar) werkdagen]]/Ruimtestaat[[#This Row],[Norm (m2/uur) werkdagen]],0)</f>
        <v>0</v>
      </c>
      <c r="X23" s="113">
        <f>Ruimtestaat[[#This Row],[uren / jaar werkdagen]]*Tariefsopbouw!$E$35</f>
        <v>0</v>
      </c>
      <c r="Y23" s="110"/>
      <c r="Z23" s="114">
        <f>IF(Ruimtestaat[[#This Row],[Frequentie weekend]]&gt;0,VALUE(LEFT(Y23,1))*R23,0)</f>
        <v>0</v>
      </c>
      <c r="AA23" s="110">
        <f>IF($Z23&gt;0,VLOOKUP($J23,Ruimtegroepen[],3,FALSE)*VLOOKUP($L23,Vloersoorten[],3,FALSE)*VLOOKUP($Y23,Frequenties[],3,FALSE)*VLOOKUP($A18,Locaties[],3,FALSE),0)</f>
        <v>0</v>
      </c>
      <c r="AB23" s="112">
        <f>Ruimtestaat[[#This Row],[Uitvoeringen weekend]]*Ruimtestaat[[#This Row],[Oppervlak (netto)]]</f>
        <v>0</v>
      </c>
      <c r="AC23" s="115">
        <f>IF(AB23&gt;0,Ruimtestaat[[#This Row],[Prest. (m2 /jaar) weekend]]/Ruimtestaat[[#This Row],[Norm (m2/uur) weekend]],0)</f>
        <v>0</v>
      </c>
      <c r="AD23" s="116">
        <f>Ruimtestaat[[#This Row],[uren / jaar weekend]]*Tariefsopbouw!$D$40</f>
        <v>0</v>
      </c>
      <c r="AE23" s="82">
        <f>Ruimtestaat[[#This Row],[Prest. (m2 /jaar) weekend]]+Ruimtestaat[[#This Row],[Prest. (m2 /jaar) werkdagen]]</f>
        <v>0</v>
      </c>
      <c r="AF23" s="82">
        <f>Ruimtestaat[[#This Row],[uren / jaar weekend]]+Ruimtestaat[[#This Row],[uren / jaar werkdagen]]</f>
        <v>0</v>
      </c>
      <c r="AG23" s="83">
        <f>Ruimtestaat[[#This Row],[kosten / jaar weekend]]+Ruimtestaat[[#This Row],[kosten / jaar werkdagen]]</f>
        <v>0</v>
      </c>
      <c r="AH23" s="117"/>
      <c r="HL23" s="87"/>
    </row>
    <row r="24" spans="1:220" ht="15" customHeight="1">
      <c r="A24" s="136">
        <v>1</v>
      </c>
      <c r="B24" s="27" t="str">
        <f>VLOOKUP(Ruimtestaat[[#This Row],[Code]],Locaties[#All],2,FALSE)</f>
        <v>Amstelveen College</v>
      </c>
      <c r="C24" s="27" t="str">
        <f>VLOOKUP(Ruimtestaat[[#This Row],[Code]],Locaties[#All],4,FALSE)</f>
        <v>Sportlaan 27</v>
      </c>
      <c r="D24" s="27" t="str">
        <f>VLOOKUP(Ruimtestaat[[#This Row],[Code]],Locaties[#All],5,FALSE)</f>
        <v>1185 TB</v>
      </c>
      <c r="E24" s="27" t="str">
        <f>VLOOKUP(Ruimtestaat[[#This Row],[Code]],Locaties[#All],6,FALSE)</f>
        <v>Amstelveen</v>
      </c>
      <c r="F24" s="74"/>
      <c r="G24" s="27" t="s">
        <v>456</v>
      </c>
      <c r="H24" s="27" t="s">
        <v>418</v>
      </c>
      <c r="I24" s="24" t="s">
        <v>434</v>
      </c>
      <c r="J24" s="27">
        <v>16</v>
      </c>
      <c r="K24" s="74" t="str">
        <f>VLOOKUP(J24,Ruimtegroepen[],2,FALSE)</f>
        <v>Leslokalen theorie</v>
      </c>
      <c r="L24" s="27" t="s">
        <v>113</v>
      </c>
      <c r="M24" s="27" t="s">
        <v>39</v>
      </c>
      <c r="N24" s="119">
        <v>86</v>
      </c>
      <c r="O24" s="107"/>
      <c r="P24" s="118" t="str">
        <f>LEFT(VLOOKUP(Ruimtestaat[[#This Row],[Ruimte code]],Ruimtegroepen[#All],4,1),2)</f>
        <v xml:space="preserve">L </v>
      </c>
      <c r="Q24" s="107"/>
      <c r="R24" s="108">
        <v>40</v>
      </c>
      <c r="S24" s="109" t="s">
        <v>18</v>
      </c>
      <c r="T24" s="110">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 s="110">
        <f>IF(T24&gt;0,VLOOKUP($J24,Ruimtegroepen[],3,FALSE)*VLOOKUP($L24,Vloersoorten[],3,FALSE)*VLOOKUP($S24,Frequenties[],3,FALSE)*VLOOKUP($A24,Locaties[],3,FALSE),0)</f>
        <v>0</v>
      </c>
      <c r="V24" s="111">
        <f>Ruimtestaat[[#This Row],[Uitvoeringen werkdagen]]*Ruimtestaat[[#This Row],[Oppervlak (netto)]]</f>
        <v>10320</v>
      </c>
      <c r="W24" s="112">
        <f>IF(U24&gt;0,Ruimtestaat[[#This Row],[Prest. (m2 /jaar) werkdagen]]/Ruimtestaat[[#This Row],[Norm (m2/uur) werkdagen]],0)</f>
        <v>0</v>
      </c>
      <c r="X24" s="113">
        <f>Ruimtestaat[[#This Row],[uren / jaar werkdagen]]*Tariefsopbouw!$E$35</f>
        <v>0</v>
      </c>
      <c r="Y24" s="110"/>
      <c r="Z24" s="114">
        <f>IF(Ruimtestaat[[#This Row],[Frequentie weekend]]&gt;0,VALUE(LEFT(Y24,1))*R24,0)</f>
        <v>0</v>
      </c>
      <c r="AA24" s="110">
        <f>IF($Z24&gt;0,VLOOKUP($J24,Ruimtegroepen[],3,FALSE)*VLOOKUP($L24,Vloersoorten[],3,FALSE)*VLOOKUP($Y24,Frequenties[],3,FALSE)*VLOOKUP($A19,Locaties[],3,FALSE),0)</f>
        <v>0</v>
      </c>
      <c r="AB24" s="112">
        <f>Ruimtestaat[[#This Row],[Uitvoeringen weekend]]*Ruimtestaat[[#This Row],[Oppervlak (netto)]]</f>
        <v>0</v>
      </c>
      <c r="AC24" s="115">
        <f>IF(AB24&gt;0,Ruimtestaat[[#This Row],[Prest. (m2 /jaar) weekend]]/Ruimtestaat[[#This Row],[Norm (m2/uur) weekend]],0)</f>
        <v>0</v>
      </c>
      <c r="AD24" s="116">
        <f>Ruimtestaat[[#This Row],[uren / jaar weekend]]*Tariefsopbouw!$D$40</f>
        <v>0</v>
      </c>
      <c r="AE24" s="82">
        <f>Ruimtestaat[[#This Row],[Prest. (m2 /jaar) weekend]]+Ruimtestaat[[#This Row],[Prest. (m2 /jaar) werkdagen]]</f>
        <v>10320</v>
      </c>
      <c r="AF24" s="82">
        <f>Ruimtestaat[[#This Row],[uren / jaar weekend]]+Ruimtestaat[[#This Row],[uren / jaar werkdagen]]</f>
        <v>0</v>
      </c>
      <c r="AG24" s="83">
        <f>Ruimtestaat[[#This Row],[kosten / jaar weekend]]+Ruimtestaat[[#This Row],[kosten / jaar werkdagen]]</f>
        <v>0</v>
      </c>
      <c r="AH24" s="117"/>
      <c r="HL24" s="87"/>
    </row>
    <row r="25" spans="1:220" ht="15" customHeight="1">
      <c r="A25" s="136">
        <v>1</v>
      </c>
      <c r="B25" s="27" t="str">
        <f>VLOOKUP(Ruimtestaat[[#This Row],[Code]],Locaties[#All],2,FALSE)</f>
        <v>Amstelveen College</v>
      </c>
      <c r="C25" s="27" t="str">
        <f>VLOOKUP(Ruimtestaat[[#This Row],[Code]],Locaties[#All],4,FALSE)</f>
        <v>Sportlaan 27</v>
      </c>
      <c r="D25" s="27" t="str">
        <f>VLOOKUP(Ruimtestaat[[#This Row],[Code]],Locaties[#All],5,FALSE)</f>
        <v>1185 TB</v>
      </c>
      <c r="E25" s="27" t="str">
        <f>VLOOKUP(Ruimtestaat[[#This Row],[Code]],Locaties[#All],6,FALSE)</f>
        <v>Amstelveen</v>
      </c>
      <c r="F25" s="74"/>
      <c r="G25" s="27" t="s">
        <v>456</v>
      </c>
      <c r="H25" s="27" t="s">
        <v>471</v>
      </c>
      <c r="I25" s="24" t="s">
        <v>472</v>
      </c>
      <c r="J25" s="27">
        <v>16</v>
      </c>
      <c r="K25" s="74" t="str">
        <f>VLOOKUP(J25,Ruimtegroepen[],2,FALSE)</f>
        <v>Leslokalen theorie</v>
      </c>
      <c r="L25" s="27" t="s">
        <v>113</v>
      </c>
      <c r="M25" s="27" t="s">
        <v>39</v>
      </c>
      <c r="N25" s="107">
        <v>14</v>
      </c>
      <c r="O25" s="107"/>
      <c r="P25" s="118" t="str">
        <f>LEFT(VLOOKUP(Ruimtestaat[[#This Row],[Ruimte code]],Ruimtegroepen[#All],4,1),2)</f>
        <v xml:space="preserve">L </v>
      </c>
      <c r="Q25" s="107"/>
      <c r="R25" s="108">
        <v>40</v>
      </c>
      <c r="S25" s="109" t="s">
        <v>18</v>
      </c>
      <c r="T25" s="110">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 s="110">
        <f>IF(T25&gt;0,VLOOKUP($J25,Ruimtegroepen[],3,FALSE)*VLOOKUP($L25,Vloersoorten[],3,FALSE)*VLOOKUP($S25,Frequenties[],3,FALSE)*VLOOKUP($A25,Locaties[],3,FALSE),0)</f>
        <v>0</v>
      </c>
      <c r="V25" s="111">
        <f>Ruimtestaat[[#This Row],[Uitvoeringen werkdagen]]*Ruimtestaat[[#This Row],[Oppervlak (netto)]]</f>
        <v>1680</v>
      </c>
      <c r="W25" s="112">
        <f>IF(U25&gt;0,Ruimtestaat[[#This Row],[Prest. (m2 /jaar) werkdagen]]/Ruimtestaat[[#This Row],[Norm (m2/uur) werkdagen]],0)</f>
        <v>0</v>
      </c>
      <c r="X25" s="113">
        <f>Ruimtestaat[[#This Row],[uren / jaar werkdagen]]*Tariefsopbouw!$E$35</f>
        <v>0</v>
      </c>
      <c r="Y25" s="110"/>
      <c r="Z25" s="114">
        <f>IF(Ruimtestaat[[#This Row],[Frequentie weekend]]&gt;0,VALUE(LEFT(Y25,1))*R25,0)</f>
        <v>0</v>
      </c>
      <c r="AA25" s="110">
        <f>IF($Z25&gt;0,VLOOKUP($J25,Ruimtegroepen[],3,FALSE)*VLOOKUP($L25,Vloersoorten[],3,FALSE)*VLOOKUP($Y25,Frequenties[],3,FALSE)*VLOOKUP($A21,Locaties[],3,FALSE),0)</f>
        <v>0</v>
      </c>
      <c r="AB25" s="112">
        <f>Ruimtestaat[[#This Row],[Uitvoeringen weekend]]*Ruimtestaat[[#This Row],[Oppervlak (netto)]]</f>
        <v>0</v>
      </c>
      <c r="AC25" s="115">
        <f>IF(AB25&gt;0,Ruimtestaat[[#This Row],[Prest. (m2 /jaar) weekend]]/Ruimtestaat[[#This Row],[Norm (m2/uur) weekend]],0)</f>
        <v>0</v>
      </c>
      <c r="AD25" s="116">
        <f>Ruimtestaat[[#This Row],[uren / jaar weekend]]*Tariefsopbouw!$D$40</f>
        <v>0</v>
      </c>
      <c r="AE25" s="82">
        <f>Ruimtestaat[[#This Row],[Prest. (m2 /jaar) weekend]]+Ruimtestaat[[#This Row],[Prest. (m2 /jaar) werkdagen]]</f>
        <v>1680</v>
      </c>
      <c r="AF25" s="82">
        <f>Ruimtestaat[[#This Row],[uren / jaar weekend]]+Ruimtestaat[[#This Row],[uren / jaar werkdagen]]</f>
        <v>0</v>
      </c>
      <c r="AG25" s="83">
        <f>Ruimtestaat[[#This Row],[kosten / jaar weekend]]+Ruimtestaat[[#This Row],[kosten / jaar werkdagen]]</f>
        <v>0</v>
      </c>
      <c r="AH25" s="117"/>
      <c r="HL25" s="87"/>
    </row>
    <row r="26" spans="1:220" ht="15" customHeight="1">
      <c r="A26" s="136">
        <v>1</v>
      </c>
      <c r="B26" s="27" t="str">
        <f>VLOOKUP(Ruimtestaat[[#This Row],[Code]],Locaties[#All],2,FALSE)</f>
        <v>Amstelveen College</v>
      </c>
      <c r="C26" s="27" t="str">
        <f>VLOOKUP(Ruimtestaat[[#This Row],[Code]],Locaties[#All],4,FALSE)</f>
        <v>Sportlaan 27</v>
      </c>
      <c r="D26" s="27" t="str">
        <f>VLOOKUP(Ruimtestaat[[#This Row],[Code]],Locaties[#All],5,FALSE)</f>
        <v>1185 TB</v>
      </c>
      <c r="E26" s="27" t="str">
        <f>VLOOKUP(Ruimtestaat[[#This Row],[Code]],Locaties[#All],6,FALSE)</f>
        <v>Amstelveen</v>
      </c>
      <c r="F26" s="74"/>
      <c r="G26" s="27" t="s">
        <v>456</v>
      </c>
      <c r="H26" s="27" t="s">
        <v>473</v>
      </c>
      <c r="I26" s="24" t="s">
        <v>472</v>
      </c>
      <c r="J26" s="27">
        <v>16</v>
      </c>
      <c r="K26" s="74" t="str">
        <f>VLOOKUP(J26,Ruimtegroepen[],2,FALSE)</f>
        <v>Leslokalen theorie</v>
      </c>
      <c r="L26" s="27" t="s">
        <v>113</v>
      </c>
      <c r="M26" s="27" t="s">
        <v>39</v>
      </c>
      <c r="N26" s="107">
        <v>14</v>
      </c>
      <c r="O26" s="107"/>
      <c r="P26" s="118" t="str">
        <f>LEFT(VLOOKUP(Ruimtestaat[[#This Row],[Ruimte code]],Ruimtegroepen[#All],4,1),2)</f>
        <v xml:space="preserve">L </v>
      </c>
      <c r="Q26" s="107"/>
      <c r="R26" s="108">
        <v>40</v>
      </c>
      <c r="S26" s="109" t="s">
        <v>18</v>
      </c>
      <c r="T26" s="110">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6" s="110">
        <f>IF(T26&gt;0,VLOOKUP($J26,Ruimtegroepen[],3,FALSE)*VLOOKUP($L26,Vloersoorten[],3,FALSE)*VLOOKUP($S26,Frequenties[],3,FALSE)*VLOOKUP($A26,Locaties[],3,FALSE),0)</f>
        <v>0</v>
      </c>
      <c r="V26" s="111">
        <f>Ruimtestaat[[#This Row],[Uitvoeringen werkdagen]]*Ruimtestaat[[#This Row],[Oppervlak (netto)]]</f>
        <v>1680</v>
      </c>
      <c r="W26" s="112">
        <f>IF(U26&gt;0,Ruimtestaat[[#This Row],[Prest. (m2 /jaar) werkdagen]]/Ruimtestaat[[#This Row],[Norm (m2/uur) werkdagen]],0)</f>
        <v>0</v>
      </c>
      <c r="X26" s="113">
        <f>Ruimtestaat[[#This Row],[uren / jaar werkdagen]]*Tariefsopbouw!$E$35</f>
        <v>0</v>
      </c>
      <c r="Y26" s="110"/>
      <c r="Z26" s="114">
        <f>IF(Ruimtestaat[[#This Row],[Frequentie weekend]]&gt;0,VALUE(LEFT(Y26,1))*R26,0)</f>
        <v>0</v>
      </c>
      <c r="AA26" s="110">
        <f>IF($Z26&gt;0,VLOOKUP($J26,Ruimtegroepen[],3,FALSE)*VLOOKUP($L26,Vloersoorten[],3,FALSE)*VLOOKUP($Y26,Frequenties[],3,FALSE)*VLOOKUP($A22,Locaties[],3,FALSE),0)</f>
        <v>0</v>
      </c>
      <c r="AB26" s="112">
        <f>Ruimtestaat[[#This Row],[Uitvoeringen weekend]]*Ruimtestaat[[#This Row],[Oppervlak (netto)]]</f>
        <v>0</v>
      </c>
      <c r="AC26" s="115">
        <f>IF(AB26&gt;0,Ruimtestaat[[#This Row],[Prest. (m2 /jaar) weekend]]/Ruimtestaat[[#This Row],[Norm (m2/uur) weekend]],0)</f>
        <v>0</v>
      </c>
      <c r="AD26" s="116">
        <f>Ruimtestaat[[#This Row],[uren / jaar weekend]]*Tariefsopbouw!$D$40</f>
        <v>0</v>
      </c>
      <c r="AE26" s="82">
        <f>Ruimtestaat[[#This Row],[Prest. (m2 /jaar) weekend]]+Ruimtestaat[[#This Row],[Prest. (m2 /jaar) werkdagen]]</f>
        <v>1680</v>
      </c>
      <c r="AF26" s="82">
        <f>Ruimtestaat[[#This Row],[uren / jaar weekend]]+Ruimtestaat[[#This Row],[uren / jaar werkdagen]]</f>
        <v>0</v>
      </c>
      <c r="AG26" s="83">
        <f>Ruimtestaat[[#This Row],[kosten / jaar weekend]]+Ruimtestaat[[#This Row],[kosten / jaar werkdagen]]</f>
        <v>0</v>
      </c>
      <c r="AH26" s="117"/>
      <c r="HL26" s="87"/>
    </row>
    <row r="27" spans="1:220" ht="15" customHeight="1">
      <c r="A27" s="136">
        <v>1</v>
      </c>
      <c r="B27" s="27" t="str">
        <f>VLOOKUP(Ruimtestaat[[#This Row],[Code]],Locaties[#All],2,FALSE)</f>
        <v>Amstelveen College</v>
      </c>
      <c r="C27" s="27" t="str">
        <f>VLOOKUP(Ruimtestaat[[#This Row],[Code]],Locaties[#All],4,FALSE)</f>
        <v>Sportlaan 27</v>
      </c>
      <c r="D27" s="27" t="str">
        <f>VLOOKUP(Ruimtestaat[[#This Row],[Code]],Locaties[#All],5,FALSE)</f>
        <v>1185 TB</v>
      </c>
      <c r="E27" s="27" t="str">
        <f>VLOOKUP(Ruimtestaat[[#This Row],[Code]],Locaties[#All],6,FALSE)</f>
        <v>Amstelveen</v>
      </c>
      <c r="F27" s="74"/>
      <c r="G27" s="27" t="s">
        <v>456</v>
      </c>
      <c r="H27" s="27" t="s">
        <v>474</v>
      </c>
      <c r="I27" s="24" t="s">
        <v>472</v>
      </c>
      <c r="J27" s="27">
        <v>16</v>
      </c>
      <c r="K27" s="74" t="str">
        <f>VLOOKUP(J27,Ruimtegroepen[],2,FALSE)</f>
        <v>Leslokalen theorie</v>
      </c>
      <c r="L27" s="27" t="s">
        <v>113</v>
      </c>
      <c r="M27" s="27" t="s">
        <v>39</v>
      </c>
      <c r="N27" s="107">
        <v>20</v>
      </c>
      <c r="O27" s="107"/>
      <c r="P27" s="118" t="str">
        <f>LEFT(VLOOKUP(Ruimtestaat[[#This Row],[Ruimte code]],Ruimtegroepen[#All],4,1),2)</f>
        <v xml:space="preserve">L </v>
      </c>
      <c r="Q27" s="107"/>
      <c r="R27" s="108">
        <v>40</v>
      </c>
      <c r="S27" s="109" t="s">
        <v>18</v>
      </c>
      <c r="T27" s="110">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7" s="110">
        <f>IF(T27&gt;0,VLOOKUP($J27,Ruimtegroepen[],3,FALSE)*VLOOKUP($L27,Vloersoorten[],3,FALSE)*VLOOKUP($S27,Frequenties[],3,FALSE)*VLOOKUP($A27,Locaties[],3,FALSE),0)</f>
        <v>0</v>
      </c>
      <c r="V27" s="111">
        <f>Ruimtestaat[[#This Row],[Uitvoeringen werkdagen]]*Ruimtestaat[[#This Row],[Oppervlak (netto)]]</f>
        <v>2400</v>
      </c>
      <c r="W27" s="112">
        <f>IF(U27&gt;0,Ruimtestaat[[#This Row],[Prest. (m2 /jaar) werkdagen]]/Ruimtestaat[[#This Row],[Norm (m2/uur) werkdagen]],0)</f>
        <v>0</v>
      </c>
      <c r="X27" s="113">
        <f>Ruimtestaat[[#This Row],[uren / jaar werkdagen]]*Tariefsopbouw!$E$35</f>
        <v>0</v>
      </c>
      <c r="Y27" s="110"/>
      <c r="Z27" s="114">
        <f>IF(Ruimtestaat[[#This Row],[Frequentie weekend]]&gt;0,VALUE(LEFT(Y27,1))*R27,0)</f>
        <v>0</v>
      </c>
      <c r="AA27" s="110">
        <f>IF($Z27&gt;0,VLOOKUP($J27,Ruimtegroepen[],3,FALSE)*VLOOKUP($L27,Vloersoorten[],3,FALSE)*VLOOKUP($Y27,Frequenties[],3,FALSE)*VLOOKUP($A23,Locaties[],3,FALSE),0)</f>
        <v>0</v>
      </c>
      <c r="AB27" s="112">
        <f>Ruimtestaat[[#This Row],[Uitvoeringen weekend]]*Ruimtestaat[[#This Row],[Oppervlak (netto)]]</f>
        <v>0</v>
      </c>
      <c r="AC27" s="115">
        <f>IF(AB27&gt;0,Ruimtestaat[[#This Row],[Prest. (m2 /jaar) weekend]]/Ruimtestaat[[#This Row],[Norm (m2/uur) weekend]],0)</f>
        <v>0</v>
      </c>
      <c r="AD27" s="116">
        <f>Ruimtestaat[[#This Row],[uren / jaar weekend]]*Tariefsopbouw!$D$40</f>
        <v>0</v>
      </c>
      <c r="AE27" s="82">
        <f>Ruimtestaat[[#This Row],[Prest. (m2 /jaar) weekend]]+Ruimtestaat[[#This Row],[Prest. (m2 /jaar) werkdagen]]</f>
        <v>2400</v>
      </c>
      <c r="AF27" s="82">
        <f>Ruimtestaat[[#This Row],[uren / jaar weekend]]+Ruimtestaat[[#This Row],[uren / jaar werkdagen]]</f>
        <v>0</v>
      </c>
      <c r="AG27" s="83">
        <f>Ruimtestaat[[#This Row],[kosten / jaar weekend]]+Ruimtestaat[[#This Row],[kosten / jaar werkdagen]]</f>
        <v>0</v>
      </c>
      <c r="AH27" s="117"/>
      <c r="HL27" s="87"/>
    </row>
    <row r="28" spans="1:220" ht="15" customHeight="1">
      <c r="A28" s="136">
        <v>1</v>
      </c>
      <c r="B28" s="27" t="str">
        <f>VLOOKUP(Ruimtestaat[[#This Row],[Code]],Locaties[#All],2,FALSE)</f>
        <v>Amstelveen College</v>
      </c>
      <c r="C28" s="27" t="str">
        <f>VLOOKUP(Ruimtestaat[[#This Row],[Code]],Locaties[#All],4,FALSE)</f>
        <v>Sportlaan 27</v>
      </c>
      <c r="D28" s="27" t="str">
        <f>VLOOKUP(Ruimtestaat[[#This Row],[Code]],Locaties[#All],5,FALSE)</f>
        <v>1185 TB</v>
      </c>
      <c r="E28" s="27" t="str">
        <f>VLOOKUP(Ruimtestaat[[#This Row],[Code]],Locaties[#All],6,FALSE)</f>
        <v>Amstelveen</v>
      </c>
      <c r="F28" s="74"/>
      <c r="G28" s="27" t="s">
        <v>456</v>
      </c>
      <c r="H28" s="27" t="s">
        <v>417</v>
      </c>
      <c r="I28" s="24" t="s">
        <v>432</v>
      </c>
      <c r="J28" s="27">
        <v>10</v>
      </c>
      <c r="K28" s="74" t="str">
        <f>VLOOKUP(J28,Ruimtegroepen[],2,FALSE)</f>
        <v>Trappenhuizen/lift</v>
      </c>
      <c r="L28" s="27" t="s">
        <v>115</v>
      </c>
      <c r="M28" s="27" t="s">
        <v>275</v>
      </c>
      <c r="N28" s="107">
        <v>17</v>
      </c>
      <c r="O28" s="107"/>
      <c r="P28" s="118" t="str">
        <f>LEFT(VLOOKUP(Ruimtestaat[[#This Row],[Ruimte code]],Ruimtegroepen[#All],4,1),2)</f>
        <v xml:space="preserve">V </v>
      </c>
      <c r="Q28" s="107"/>
      <c r="R28" s="108">
        <v>40</v>
      </c>
      <c r="S28" s="109" t="s">
        <v>15</v>
      </c>
      <c r="T28" s="110">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8" s="110">
        <f>IF(T28&gt;0,VLOOKUP($J28,Ruimtegroepen[],3,FALSE)*VLOOKUP($L28,Vloersoorten[],3,FALSE)*VLOOKUP($S28,Frequenties[],3,FALSE)*VLOOKUP($A28,Locaties[],3,FALSE),0)</f>
        <v>0</v>
      </c>
      <c r="V28" s="111">
        <f>Ruimtestaat[[#This Row],[Uitvoeringen werkdagen]]*Ruimtestaat[[#This Row],[Oppervlak (netto)]]</f>
        <v>680</v>
      </c>
      <c r="W28" s="112">
        <f>IF(U28&gt;0,Ruimtestaat[[#This Row],[Prest. (m2 /jaar) werkdagen]]/Ruimtestaat[[#This Row],[Norm (m2/uur) werkdagen]],0)</f>
        <v>0</v>
      </c>
      <c r="X28" s="113">
        <f>Ruimtestaat[[#This Row],[uren / jaar werkdagen]]*Tariefsopbouw!$E$35</f>
        <v>0</v>
      </c>
      <c r="Y28" s="110"/>
      <c r="Z28" s="114">
        <f>IF(Ruimtestaat[[#This Row],[Frequentie weekend]]&gt;0,VALUE(LEFT(Y28,1))*R28,0)</f>
        <v>0</v>
      </c>
      <c r="AA28" s="110">
        <f>IF($Z28&gt;0,VLOOKUP($J28,Ruimtegroepen[],3,FALSE)*VLOOKUP($L28,Vloersoorten[],3,FALSE)*VLOOKUP($Y28,Frequenties[],3,FALSE)*VLOOKUP($A24,Locaties[],3,FALSE),0)</f>
        <v>0</v>
      </c>
      <c r="AB28" s="112">
        <f>Ruimtestaat[[#This Row],[Uitvoeringen weekend]]*Ruimtestaat[[#This Row],[Oppervlak (netto)]]</f>
        <v>0</v>
      </c>
      <c r="AC28" s="115">
        <f>IF(AB28&gt;0,Ruimtestaat[[#This Row],[Prest. (m2 /jaar) weekend]]/Ruimtestaat[[#This Row],[Norm (m2/uur) weekend]],0)</f>
        <v>0</v>
      </c>
      <c r="AD28" s="116">
        <f>Ruimtestaat[[#This Row],[uren / jaar weekend]]*Tariefsopbouw!$D$40</f>
        <v>0</v>
      </c>
      <c r="AE28" s="82">
        <f>Ruimtestaat[[#This Row],[Prest. (m2 /jaar) weekend]]+Ruimtestaat[[#This Row],[Prest. (m2 /jaar) werkdagen]]</f>
        <v>680</v>
      </c>
      <c r="AF28" s="82">
        <f>Ruimtestaat[[#This Row],[uren / jaar weekend]]+Ruimtestaat[[#This Row],[uren / jaar werkdagen]]</f>
        <v>0</v>
      </c>
      <c r="AG28" s="83">
        <f>Ruimtestaat[[#This Row],[kosten / jaar weekend]]+Ruimtestaat[[#This Row],[kosten / jaar werkdagen]]</f>
        <v>0</v>
      </c>
      <c r="AH28" s="117"/>
      <c r="HL28" s="87"/>
    </row>
    <row r="29" spans="1:220" ht="15" customHeight="1">
      <c r="A29" s="215">
        <v>1</v>
      </c>
      <c r="B29" s="27" t="str">
        <f>VLOOKUP(Ruimtestaat[[#This Row],[Code]],Locaties[#All],2,FALSE)</f>
        <v>Amstelveen College</v>
      </c>
      <c r="C29" s="27" t="str">
        <f>VLOOKUP(Ruimtestaat[[#This Row],[Code]],Locaties[#All],4,FALSE)</f>
        <v>Sportlaan 27</v>
      </c>
      <c r="D29" s="27" t="str">
        <f>VLOOKUP(Ruimtestaat[[#This Row],[Code]],Locaties[#All],5,FALSE)</f>
        <v>1185 TB</v>
      </c>
      <c r="E29" s="27" t="str">
        <f>VLOOKUP(Ruimtestaat[[#This Row],[Code]],Locaties[#All],6,FALSE)</f>
        <v>Amstelveen</v>
      </c>
      <c r="F29" s="217"/>
      <c r="G29" s="27" t="s">
        <v>456</v>
      </c>
      <c r="H29" s="27" t="s">
        <v>414</v>
      </c>
      <c r="I29" s="74" t="s">
        <v>433</v>
      </c>
      <c r="J29" s="216">
        <v>13</v>
      </c>
      <c r="K29" s="74" t="str">
        <f>VLOOKUP(J29,Ruimtegroepen[],2,FALSE)</f>
        <v>HV/Technieklokaal</v>
      </c>
      <c r="L29" s="27" t="s">
        <v>114</v>
      </c>
      <c r="M29" s="27" t="s">
        <v>139</v>
      </c>
      <c r="N29" s="218">
        <v>118</v>
      </c>
      <c r="O29" s="218"/>
      <c r="P29" s="118" t="str">
        <f>LEFT(VLOOKUP(Ruimtestaat[[#This Row],[Ruimte code]],Ruimtegroepen[#All],4,1),2)</f>
        <v xml:space="preserve">L </v>
      </c>
      <c r="Q29" s="219"/>
      <c r="R29" s="108">
        <v>40</v>
      </c>
      <c r="S29" s="109" t="s">
        <v>18</v>
      </c>
      <c r="T29" s="110">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9" s="110">
        <f>IF(T29&gt;0,VLOOKUP($J29,Ruimtegroepen[],3,FALSE)*VLOOKUP($L29,Vloersoorten[],3,FALSE)*VLOOKUP($S29,Frequenties[],3,FALSE)*VLOOKUP($A29,Locaties[],3,FALSE),0)</f>
        <v>0</v>
      </c>
      <c r="V29" s="111">
        <f>Ruimtestaat[[#This Row],[Uitvoeringen werkdagen]]*Ruimtestaat[[#This Row],[Oppervlak (netto)]]</f>
        <v>14160</v>
      </c>
      <c r="W29" s="112">
        <f>IF(U29&gt;0,Ruimtestaat[[#This Row],[Prest. (m2 /jaar) werkdagen]]/Ruimtestaat[[#This Row],[Norm (m2/uur) werkdagen]],0)</f>
        <v>0</v>
      </c>
      <c r="X29" s="113">
        <f>Ruimtestaat[[#This Row],[uren / jaar werkdagen]]*Tariefsopbouw!$E$35</f>
        <v>0</v>
      </c>
      <c r="Y29" s="220"/>
      <c r="Z29" s="114">
        <f>IF(Ruimtestaat[[#This Row],[Frequentie weekend]]&gt;0,VALUE(LEFT(Y29,1))*R29,0)</f>
        <v>0</v>
      </c>
      <c r="AA29" s="110">
        <f>IF($Z29&gt;0,VLOOKUP($J29,Ruimtegroepen[],3,FALSE)*VLOOKUP($L29,Vloersoorten[],3,FALSE)*VLOOKUP($Y29,Frequenties[],3,FALSE)*VLOOKUP($A25,Locaties[],3,FALSE),0)</f>
        <v>0</v>
      </c>
      <c r="AB29" s="112">
        <f>Ruimtestaat[[#This Row],[Uitvoeringen weekend]]*Ruimtestaat[[#This Row],[Oppervlak (netto)]]</f>
        <v>0</v>
      </c>
      <c r="AC29" s="115">
        <f>IF(AB29&gt;0,Ruimtestaat[[#This Row],[Prest. (m2 /jaar) weekend]]/Ruimtestaat[[#This Row],[Norm (m2/uur) weekend]],0)</f>
        <v>0</v>
      </c>
      <c r="AD29" s="116">
        <f>Ruimtestaat[[#This Row],[uren / jaar weekend]]*Tariefsopbouw!$D$40</f>
        <v>0</v>
      </c>
      <c r="AE29" s="82">
        <f>Ruimtestaat[[#This Row],[Prest. (m2 /jaar) weekend]]+Ruimtestaat[[#This Row],[Prest. (m2 /jaar) werkdagen]]</f>
        <v>14160</v>
      </c>
      <c r="AF29" s="82">
        <f>Ruimtestaat[[#This Row],[uren / jaar weekend]]+Ruimtestaat[[#This Row],[uren / jaar werkdagen]]</f>
        <v>0</v>
      </c>
      <c r="AG29" s="83">
        <f>Ruimtestaat[[#This Row],[kosten / jaar weekend]]+Ruimtestaat[[#This Row],[kosten / jaar werkdagen]]</f>
        <v>0</v>
      </c>
      <c r="AH29" s="117"/>
      <c r="HL29" s="87"/>
    </row>
    <row r="30" spans="1:220" ht="15" customHeight="1">
      <c r="A30" s="136">
        <v>1</v>
      </c>
      <c r="B30" s="27" t="str">
        <f>VLOOKUP(Ruimtestaat[[#This Row],[Code]],Locaties[#All],2,FALSE)</f>
        <v>Amstelveen College</v>
      </c>
      <c r="C30" s="27" t="str">
        <f>VLOOKUP(Ruimtestaat[[#This Row],[Code]],Locaties[#All],4,FALSE)</f>
        <v>Sportlaan 27</v>
      </c>
      <c r="D30" s="27" t="str">
        <f>VLOOKUP(Ruimtestaat[[#This Row],[Code]],Locaties[#All],5,FALSE)</f>
        <v>1185 TB</v>
      </c>
      <c r="E30" s="27" t="str">
        <f>VLOOKUP(Ruimtestaat[[#This Row],[Code]],Locaties[#All],6,FALSE)</f>
        <v>Amstelveen</v>
      </c>
      <c r="F30" s="74"/>
      <c r="G30" s="27" t="s">
        <v>456</v>
      </c>
      <c r="H30" s="27" t="s">
        <v>415</v>
      </c>
      <c r="I30" s="24" t="s">
        <v>368</v>
      </c>
      <c r="J30" s="27">
        <v>16</v>
      </c>
      <c r="K30" s="74" t="str">
        <f>VLOOKUP(J30,Ruimtegroepen[],2,FALSE)</f>
        <v>Leslokalen theorie</v>
      </c>
      <c r="L30" s="27" t="s">
        <v>114</v>
      </c>
      <c r="M30" s="27" t="s">
        <v>139</v>
      </c>
      <c r="N30" s="107">
        <v>60</v>
      </c>
      <c r="O30" s="107"/>
      <c r="P30" s="118" t="str">
        <f>LEFT(VLOOKUP(Ruimtestaat[[#This Row],[Ruimte code]],Ruimtegroepen[#All],4,1),2)</f>
        <v xml:space="preserve">L </v>
      </c>
      <c r="Q30" s="107"/>
      <c r="R30" s="108">
        <v>40</v>
      </c>
      <c r="S30" s="109" t="s">
        <v>18</v>
      </c>
      <c r="T30" s="110">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0" s="110">
        <f>IF(T30&gt;0,VLOOKUP($J30,Ruimtegroepen[],3,FALSE)*VLOOKUP($L30,Vloersoorten[],3,FALSE)*VLOOKUP($S30,Frequenties[],3,FALSE)*VLOOKUP($A30,Locaties[],3,FALSE),0)</f>
        <v>0</v>
      </c>
      <c r="V30" s="111">
        <f>Ruimtestaat[[#This Row],[Uitvoeringen werkdagen]]*Ruimtestaat[[#This Row],[Oppervlak (netto)]]</f>
        <v>7200</v>
      </c>
      <c r="W30" s="112">
        <f>IF(U30&gt;0,Ruimtestaat[[#This Row],[Prest. (m2 /jaar) werkdagen]]/Ruimtestaat[[#This Row],[Norm (m2/uur) werkdagen]],0)</f>
        <v>0</v>
      </c>
      <c r="X30" s="113">
        <f>Ruimtestaat[[#This Row],[uren / jaar werkdagen]]*Tariefsopbouw!$E$35</f>
        <v>0</v>
      </c>
      <c r="Y30" s="110"/>
      <c r="Z30" s="114">
        <f>IF(Ruimtestaat[[#This Row],[Frequentie weekend]]&gt;0,VALUE(LEFT(Y30,1))*R30,0)</f>
        <v>0</v>
      </c>
      <c r="AA30" s="110">
        <f>IF($Z30&gt;0,VLOOKUP($J30,Ruimtegroepen[],3,FALSE)*VLOOKUP($L30,Vloersoorten[],3,FALSE)*VLOOKUP($Y30,Frequenties[],3,FALSE)*VLOOKUP($A25,Locaties[],3,FALSE),0)</f>
        <v>0</v>
      </c>
      <c r="AB30" s="112">
        <f>Ruimtestaat[[#This Row],[Uitvoeringen weekend]]*Ruimtestaat[[#This Row],[Oppervlak (netto)]]</f>
        <v>0</v>
      </c>
      <c r="AC30" s="115">
        <f>IF(AB30&gt;0,Ruimtestaat[[#This Row],[Prest. (m2 /jaar) weekend]]/Ruimtestaat[[#This Row],[Norm (m2/uur) weekend]],0)</f>
        <v>0</v>
      </c>
      <c r="AD30" s="116">
        <f>Ruimtestaat[[#This Row],[uren / jaar weekend]]*Tariefsopbouw!$D$40</f>
        <v>0</v>
      </c>
      <c r="AE30" s="82">
        <f>Ruimtestaat[[#This Row],[Prest. (m2 /jaar) weekend]]+Ruimtestaat[[#This Row],[Prest. (m2 /jaar) werkdagen]]</f>
        <v>7200</v>
      </c>
      <c r="AF30" s="82">
        <f>Ruimtestaat[[#This Row],[uren / jaar weekend]]+Ruimtestaat[[#This Row],[uren / jaar werkdagen]]</f>
        <v>0</v>
      </c>
      <c r="AG30" s="83">
        <f>Ruimtestaat[[#This Row],[kosten / jaar weekend]]+Ruimtestaat[[#This Row],[kosten / jaar werkdagen]]</f>
        <v>0</v>
      </c>
      <c r="AH30" s="117"/>
      <c r="HL30" s="87"/>
    </row>
    <row r="31" spans="1:220" ht="15" customHeight="1">
      <c r="A31" s="136">
        <v>1</v>
      </c>
      <c r="B31" s="27" t="str">
        <f>VLOOKUP(Ruimtestaat[[#This Row],[Code]],Locaties[#All],2,FALSE)</f>
        <v>Amstelveen College</v>
      </c>
      <c r="C31" s="27" t="str">
        <f>VLOOKUP(Ruimtestaat[[#This Row],[Code]],Locaties[#All],4,FALSE)</f>
        <v>Sportlaan 27</v>
      </c>
      <c r="D31" s="27" t="str">
        <f>VLOOKUP(Ruimtestaat[[#This Row],[Code]],Locaties[#All],5,FALSE)</f>
        <v>1185 TB</v>
      </c>
      <c r="E31" s="27" t="str">
        <f>VLOOKUP(Ruimtestaat[[#This Row],[Code]],Locaties[#All],6,FALSE)</f>
        <v>Amstelveen</v>
      </c>
      <c r="F31" s="74"/>
      <c r="G31" s="27" t="s">
        <v>456</v>
      </c>
      <c r="H31" s="27" t="s">
        <v>416</v>
      </c>
      <c r="I31" s="24" t="s">
        <v>433</v>
      </c>
      <c r="J31" s="27">
        <v>13</v>
      </c>
      <c r="K31" s="74" t="str">
        <f>VLOOKUP(J31,Ruimtegroepen[],2,FALSE)</f>
        <v>HV/Technieklokaal</v>
      </c>
      <c r="L31" s="27" t="s">
        <v>114</v>
      </c>
      <c r="M31" s="27" t="s">
        <v>139</v>
      </c>
      <c r="N31" s="107">
        <v>86</v>
      </c>
      <c r="O31" s="107"/>
      <c r="P31" s="118" t="str">
        <f>LEFT(VLOOKUP(Ruimtestaat[[#This Row],[Ruimte code]],Ruimtegroepen[#All],4,1),2)</f>
        <v xml:space="preserve">L </v>
      </c>
      <c r="Q31" s="107"/>
      <c r="R31" s="108">
        <v>40</v>
      </c>
      <c r="S31" s="109" t="s">
        <v>18</v>
      </c>
      <c r="T31" s="110">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1" s="110">
        <f>IF(T31&gt;0,VLOOKUP($J31,Ruimtegroepen[],3,FALSE)*VLOOKUP($L31,Vloersoorten[],3,FALSE)*VLOOKUP($S31,Frequenties[],3,FALSE)*VLOOKUP($A31,Locaties[],3,FALSE),0)</f>
        <v>0</v>
      </c>
      <c r="V31" s="111">
        <f>Ruimtestaat[[#This Row],[Uitvoeringen werkdagen]]*Ruimtestaat[[#This Row],[Oppervlak (netto)]]</f>
        <v>10320</v>
      </c>
      <c r="W31" s="112">
        <f>IF(U31&gt;0,Ruimtestaat[[#This Row],[Prest. (m2 /jaar) werkdagen]]/Ruimtestaat[[#This Row],[Norm (m2/uur) werkdagen]],0)</f>
        <v>0</v>
      </c>
      <c r="X31" s="113">
        <f>Ruimtestaat[[#This Row],[uren / jaar werkdagen]]*Tariefsopbouw!$E$35</f>
        <v>0</v>
      </c>
      <c r="Y31" s="110"/>
      <c r="Z31" s="114">
        <f>IF(Ruimtestaat[[#This Row],[Frequentie weekend]]&gt;0,VALUE(LEFT(Y31,1))*R31,0)</f>
        <v>0</v>
      </c>
      <c r="AA31" s="110">
        <f>IF($Z31&gt;0,VLOOKUP($J31,Ruimtegroepen[],3,FALSE)*VLOOKUP($L31,Vloersoorten[],3,FALSE)*VLOOKUP($Y31,Frequenties[],3,FALSE)*VLOOKUP($A26,Locaties[],3,FALSE),0)</f>
        <v>0</v>
      </c>
      <c r="AB31" s="112">
        <f>Ruimtestaat[[#This Row],[Uitvoeringen weekend]]*Ruimtestaat[[#This Row],[Oppervlak (netto)]]</f>
        <v>0</v>
      </c>
      <c r="AC31" s="115">
        <f>IF(AB31&gt;0,Ruimtestaat[[#This Row],[Prest. (m2 /jaar) weekend]]/Ruimtestaat[[#This Row],[Norm (m2/uur) weekend]],0)</f>
        <v>0</v>
      </c>
      <c r="AD31" s="116">
        <f>Ruimtestaat[[#This Row],[uren / jaar weekend]]*Tariefsopbouw!$D$40</f>
        <v>0</v>
      </c>
      <c r="AE31" s="82">
        <f>Ruimtestaat[[#This Row],[Prest. (m2 /jaar) weekend]]+Ruimtestaat[[#This Row],[Prest. (m2 /jaar) werkdagen]]</f>
        <v>10320</v>
      </c>
      <c r="AF31" s="82">
        <f>Ruimtestaat[[#This Row],[uren / jaar weekend]]+Ruimtestaat[[#This Row],[uren / jaar werkdagen]]</f>
        <v>0</v>
      </c>
      <c r="AG31" s="83">
        <f>Ruimtestaat[[#This Row],[kosten / jaar weekend]]+Ruimtestaat[[#This Row],[kosten / jaar werkdagen]]</f>
        <v>0</v>
      </c>
      <c r="AH31" s="117"/>
      <c r="HL31" s="87"/>
    </row>
    <row r="32" spans="1:220" ht="15" customHeight="1">
      <c r="A32" s="136">
        <v>1</v>
      </c>
      <c r="B32" s="27" t="str">
        <f>VLOOKUP(Ruimtestaat[[#This Row],[Code]],Locaties[#All],2,FALSE)</f>
        <v>Amstelveen College</v>
      </c>
      <c r="C32" s="27" t="str">
        <f>VLOOKUP(Ruimtestaat[[#This Row],[Code]],Locaties[#All],4,FALSE)</f>
        <v>Sportlaan 27</v>
      </c>
      <c r="D32" s="27" t="str">
        <f>VLOOKUP(Ruimtestaat[[#This Row],[Code]],Locaties[#All],5,FALSE)</f>
        <v>1185 TB</v>
      </c>
      <c r="E32" s="27" t="str">
        <f>VLOOKUP(Ruimtestaat[[#This Row],[Code]],Locaties[#All],6,FALSE)</f>
        <v>Amstelveen</v>
      </c>
      <c r="F32" s="74"/>
      <c r="G32" s="27" t="s">
        <v>456</v>
      </c>
      <c r="H32" s="27" t="s">
        <v>475</v>
      </c>
      <c r="I32" s="24" t="s">
        <v>367</v>
      </c>
      <c r="J32" s="27">
        <v>20</v>
      </c>
      <c r="K32" s="74" t="str">
        <f>VLOOKUP(J32,Ruimtegroepen[],2,FALSE)</f>
        <v>Niet in onderhoud</v>
      </c>
      <c r="M32" s="27"/>
      <c r="O32" s="107">
        <v>30</v>
      </c>
      <c r="P32" s="118" t="str">
        <f>LEFT(VLOOKUP(Ruimtestaat[[#This Row],[Ruimte code]],Ruimtegroepen[#All],4,1),2)</f>
        <v/>
      </c>
      <c r="Q32" s="107"/>
      <c r="R32" s="108"/>
      <c r="S32" s="109"/>
      <c r="T32" s="110">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 s="110">
        <f>IF(T32&gt;0,VLOOKUP($J32,Ruimtegroepen[],3,FALSE)*VLOOKUP($L32,Vloersoorten[],3,FALSE)*VLOOKUP($S32,Frequenties[],3,FALSE)*VLOOKUP($A32,Locaties[],3,FALSE),0)</f>
        <v>0</v>
      </c>
      <c r="V32" s="111">
        <f>Ruimtestaat[[#This Row],[Uitvoeringen werkdagen]]*Ruimtestaat[[#This Row],[Oppervlak (netto)]]</f>
        <v>0</v>
      </c>
      <c r="W32" s="112">
        <f>IF(U32&gt;0,Ruimtestaat[[#This Row],[Prest. (m2 /jaar) werkdagen]]/Ruimtestaat[[#This Row],[Norm (m2/uur) werkdagen]],0)</f>
        <v>0</v>
      </c>
      <c r="X32" s="113">
        <f>Ruimtestaat[[#This Row],[uren / jaar werkdagen]]*Tariefsopbouw!$E$35</f>
        <v>0</v>
      </c>
      <c r="Y32" s="110"/>
      <c r="Z32" s="114">
        <f>IF(Ruimtestaat[[#This Row],[Frequentie weekend]]&gt;0,VALUE(LEFT(Y32,1))*R32,0)</f>
        <v>0</v>
      </c>
      <c r="AA32" s="110">
        <f>IF($Z32&gt;0,VLOOKUP($J32,Ruimtegroepen[],3,FALSE)*VLOOKUP($L32,Vloersoorten[],3,FALSE)*VLOOKUP($Y32,Frequenties[],3,FALSE)*VLOOKUP($A27,Locaties[],3,FALSE),0)</f>
        <v>0</v>
      </c>
      <c r="AB32" s="112">
        <f>Ruimtestaat[[#This Row],[Uitvoeringen weekend]]*Ruimtestaat[[#This Row],[Oppervlak (netto)]]</f>
        <v>0</v>
      </c>
      <c r="AC32" s="115">
        <f>IF(AB32&gt;0,Ruimtestaat[[#This Row],[Prest. (m2 /jaar) weekend]]/Ruimtestaat[[#This Row],[Norm (m2/uur) weekend]],0)</f>
        <v>0</v>
      </c>
      <c r="AD32" s="116">
        <f>Ruimtestaat[[#This Row],[uren / jaar weekend]]*Tariefsopbouw!$D$40</f>
        <v>0</v>
      </c>
      <c r="AE32" s="82">
        <f>Ruimtestaat[[#This Row],[Prest. (m2 /jaar) weekend]]+Ruimtestaat[[#This Row],[Prest. (m2 /jaar) werkdagen]]</f>
        <v>0</v>
      </c>
      <c r="AF32" s="82">
        <f>Ruimtestaat[[#This Row],[uren / jaar weekend]]+Ruimtestaat[[#This Row],[uren / jaar werkdagen]]</f>
        <v>0</v>
      </c>
      <c r="AG32" s="83">
        <f>Ruimtestaat[[#This Row],[kosten / jaar weekend]]+Ruimtestaat[[#This Row],[kosten / jaar werkdagen]]</f>
        <v>0</v>
      </c>
      <c r="AH32" s="117"/>
      <c r="HL32" s="87"/>
    </row>
    <row r="33" spans="1:220" ht="15" customHeight="1">
      <c r="A33" s="136">
        <v>1</v>
      </c>
      <c r="B33" s="27" t="str">
        <f>VLOOKUP(Ruimtestaat[[#This Row],[Code]],Locaties[#All],2,FALSE)</f>
        <v>Amstelveen College</v>
      </c>
      <c r="C33" s="27" t="str">
        <f>VLOOKUP(Ruimtestaat[[#This Row],[Code]],Locaties[#All],4,FALSE)</f>
        <v>Sportlaan 27</v>
      </c>
      <c r="D33" s="27" t="str">
        <f>VLOOKUP(Ruimtestaat[[#This Row],[Code]],Locaties[#All],5,FALSE)</f>
        <v>1185 TB</v>
      </c>
      <c r="E33" s="27" t="str">
        <f>VLOOKUP(Ruimtestaat[[#This Row],[Code]],Locaties[#All],6,FALSE)</f>
        <v>Amstelveen</v>
      </c>
      <c r="F33" s="74"/>
      <c r="G33" s="27" t="s">
        <v>456</v>
      </c>
      <c r="H33" s="27" t="s">
        <v>476</v>
      </c>
      <c r="I33" s="24" t="s">
        <v>369</v>
      </c>
      <c r="J33" s="27">
        <v>6</v>
      </c>
      <c r="K33" s="74" t="str">
        <f>VLOOKUP(J33,Ruimtegroepen[],2,FALSE)</f>
        <v>Gangen/hallen</v>
      </c>
      <c r="L33" s="27" t="s">
        <v>114</v>
      </c>
      <c r="M33" s="27" t="s">
        <v>139</v>
      </c>
      <c r="N33" s="107">
        <v>54</v>
      </c>
      <c r="O33" s="107"/>
      <c r="P33" s="118" t="str">
        <f>LEFT(VLOOKUP(Ruimtestaat[[#This Row],[Ruimte code]],Ruimtegroepen[#All],4,1),2)</f>
        <v xml:space="preserve">V </v>
      </c>
      <c r="Q33" s="107"/>
      <c r="R33" s="108">
        <v>42</v>
      </c>
      <c r="S33" s="109" t="s">
        <v>2</v>
      </c>
      <c r="T33" s="110">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33" s="110">
        <f>IF(T33&gt;0,VLOOKUP($J33,Ruimtegroepen[],3,FALSE)*VLOOKUP($L33,Vloersoorten[],3,FALSE)*VLOOKUP($S33,Frequenties[],3,FALSE)*VLOOKUP($A33,Locaties[],3,FALSE),0)</f>
        <v>0</v>
      </c>
      <c r="V33" s="111">
        <f>Ruimtestaat[[#This Row],[Uitvoeringen werkdagen]]*Ruimtestaat[[#This Row],[Oppervlak (netto)]]</f>
        <v>11340</v>
      </c>
      <c r="W33" s="112">
        <f>IF(U33&gt;0,Ruimtestaat[[#This Row],[Prest. (m2 /jaar) werkdagen]]/Ruimtestaat[[#This Row],[Norm (m2/uur) werkdagen]],0)</f>
        <v>0</v>
      </c>
      <c r="X33" s="113">
        <f>Ruimtestaat[[#This Row],[uren / jaar werkdagen]]*Tariefsopbouw!$E$35</f>
        <v>0</v>
      </c>
      <c r="Y33" s="110"/>
      <c r="Z33" s="114">
        <f>IF(Ruimtestaat[[#This Row],[Frequentie weekend]]&gt;0,VALUE(LEFT(Y33,1))*R33,0)</f>
        <v>0</v>
      </c>
      <c r="AA33" s="110">
        <f>IF($Z33&gt;0,VLOOKUP($J33,Ruimtegroepen[],3,FALSE)*VLOOKUP($L33,Vloersoorten[],3,FALSE)*VLOOKUP($Y33,Frequenties[],3,FALSE)*VLOOKUP($A28,Locaties[],3,FALSE),0)</f>
        <v>0</v>
      </c>
      <c r="AB33" s="112">
        <f>Ruimtestaat[[#This Row],[Uitvoeringen weekend]]*Ruimtestaat[[#This Row],[Oppervlak (netto)]]</f>
        <v>0</v>
      </c>
      <c r="AC33" s="115">
        <f>IF(AB33&gt;0,Ruimtestaat[[#This Row],[Prest. (m2 /jaar) weekend]]/Ruimtestaat[[#This Row],[Norm (m2/uur) weekend]],0)</f>
        <v>0</v>
      </c>
      <c r="AD33" s="116">
        <f>Ruimtestaat[[#This Row],[uren / jaar weekend]]*Tariefsopbouw!$D$40</f>
        <v>0</v>
      </c>
      <c r="AE33" s="82">
        <f>Ruimtestaat[[#This Row],[Prest. (m2 /jaar) weekend]]+Ruimtestaat[[#This Row],[Prest. (m2 /jaar) werkdagen]]</f>
        <v>11340</v>
      </c>
      <c r="AF33" s="82">
        <f>Ruimtestaat[[#This Row],[uren / jaar weekend]]+Ruimtestaat[[#This Row],[uren / jaar werkdagen]]</f>
        <v>0</v>
      </c>
      <c r="AG33" s="83">
        <f>Ruimtestaat[[#This Row],[kosten / jaar weekend]]+Ruimtestaat[[#This Row],[kosten / jaar werkdagen]]</f>
        <v>0</v>
      </c>
      <c r="AH33" s="117"/>
      <c r="HL33" s="87"/>
    </row>
    <row r="34" spans="1:220" ht="15" customHeight="1">
      <c r="A34" s="136">
        <v>1</v>
      </c>
      <c r="B34" s="27" t="str">
        <f>VLOOKUP(Ruimtestaat[[#This Row],[Code]],Locaties[#All],2,FALSE)</f>
        <v>Amstelveen College</v>
      </c>
      <c r="C34" s="27" t="str">
        <f>VLOOKUP(Ruimtestaat[[#This Row],[Code]],Locaties[#All],4,FALSE)</f>
        <v>Sportlaan 27</v>
      </c>
      <c r="D34" s="27" t="str">
        <f>VLOOKUP(Ruimtestaat[[#This Row],[Code]],Locaties[#All],5,FALSE)</f>
        <v>1185 TB</v>
      </c>
      <c r="E34" s="27" t="str">
        <f>VLOOKUP(Ruimtestaat[[#This Row],[Code]],Locaties[#All],6,FALSE)</f>
        <v>Amstelveen</v>
      </c>
      <c r="F34" s="74"/>
      <c r="G34" s="27" t="s">
        <v>456</v>
      </c>
      <c r="H34" s="27" t="s">
        <v>477</v>
      </c>
      <c r="I34" s="24" t="s">
        <v>368</v>
      </c>
      <c r="J34" s="27">
        <v>16</v>
      </c>
      <c r="K34" s="74" t="str">
        <f>VLOOKUP(J34,Ruimtegroepen[],2,FALSE)</f>
        <v>Leslokalen theorie</v>
      </c>
      <c r="L34" s="27" t="s">
        <v>114</v>
      </c>
      <c r="M34" s="27" t="s">
        <v>139</v>
      </c>
      <c r="N34" s="119">
        <v>53</v>
      </c>
      <c r="O34" s="107"/>
      <c r="P34" s="118" t="str">
        <f>LEFT(VLOOKUP(Ruimtestaat[[#This Row],[Ruimte code]],Ruimtegroepen[#All],4,1),2)</f>
        <v xml:space="preserve">L </v>
      </c>
      <c r="Q34" s="107"/>
      <c r="R34" s="108">
        <v>40</v>
      </c>
      <c r="S34" s="109" t="s">
        <v>18</v>
      </c>
      <c r="T34" s="110">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4" s="110">
        <f>IF(T34&gt;0,VLOOKUP($J34,Ruimtegroepen[],3,FALSE)*VLOOKUP($L34,Vloersoorten[],3,FALSE)*VLOOKUP($S34,Frequenties[],3,FALSE)*VLOOKUP($A34,Locaties[],3,FALSE),0)</f>
        <v>0</v>
      </c>
      <c r="V34" s="111">
        <f>Ruimtestaat[[#This Row],[Uitvoeringen werkdagen]]*Ruimtestaat[[#This Row],[Oppervlak (netto)]]</f>
        <v>6360</v>
      </c>
      <c r="W34" s="112">
        <f>IF(U34&gt;0,Ruimtestaat[[#This Row],[Prest. (m2 /jaar) werkdagen]]/Ruimtestaat[[#This Row],[Norm (m2/uur) werkdagen]],0)</f>
        <v>0</v>
      </c>
      <c r="X34" s="113">
        <f>Ruimtestaat[[#This Row],[uren / jaar werkdagen]]*Tariefsopbouw!$E$35</f>
        <v>0</v>
      </c>
      <c r="Y34" s="110"/>
      <c r="Z34" s="114">
        <f>IF(Ruimtestaat[[#This Row],[Frequentie weekend]]&gt;0,VALUE(LEFT(Y34,1))*R34,0)</f>
        <v>0</v>
      </c>
      <c r="AA34" s="110">
        <f>IF($Z34&gt;0,VLOOKUP($J34,Ruimtegroepen[],3,FALSE)*VLOOKUP($L34,Vloersoorten[],3,FALSE)*VLOOKUP($Y34,Frequenties[],3,FALSE)*VLOOKUP($A30,Locaties[],3,FALSE),0)</f>
        <v>0</v>
      </c>
      <c r="AB34" s="112">
        <f>Ruimtestaat[[#This Row],[Uitvoeringen weekend]]*Ruimtestaat[[#This Row],[Oppervlak (netto)]]</f>
        <v>0</v>
      </c>
      <c r="AC34" s="115">
        <f>IF(AB34&gt;0,Ruimtestaat[[#This Row],[Prest. (m2 /jaar) weekend]]/Ruimtestaat[[#This Row],[Norm (m2/uur) weekend]],0)</f>
        <v>0</v>
      </c>
      <c r="AD34" s="116">
        <f>Ruimtestaat[[#This Row],[uren / jaar weekend]]*Tariefsopbouw!$D$40</f>
        <v>0</v>
      </c>
      <c r="AE34" s="82">
        <f>Ruimtestaat[[#This Row],[Prest. (m2 /jaar) weekend]]+Ruimtestaat[[#This Row],[Prest. (m2 /jaar) werkdagen]]</f>
        <v>6360</v>
      </c>
      <c r="AF34" s="82">
        <f>Ruimtestaat[[#This Row],[uren / jaar weekend]]+Ruimtestaat[[#This Row],[uren / jaar werkdagen]]</f>
        <v>0</v>
      </c>
      <c r="AG34" s="83">
        <f>Ruimtestaat[[#This Row],[kosten / jaar weekend]]+Ruimtestaat[[#This Row],[kosten / jaar werkdagen]]</f>
        <v>0</v>
      </c>
      <c r="AH34" s="117"/>
      <c r="HL34" s="87"/>
    </row>
    <row r="35" spans="1:220" ht="15" customHeight="1">
      <c r="A35" s="136">
        <v>1</v>
      </c>
      <c r="B35" s="27" t="str">
        <f>VLOOKUP(Ruimtestaat[[#This Row],[Code]],Locaties[#All],2,FALSE)</f>
        <v>Amstelveen College</v>
      </c>
      <c r="C35" s="27" t="str">
        <f>VLOOKUP(Ruimtestaat[[#This Row],[Code]],Locaties[#All],4,FALSE)</f>
        <v>Sportlaan 27</v>
      </c>
      <c r="D35" s="27" t="str">
        <f>VLOOKUP(Ruimtestaat[[#This Row],[Code]],Locaties[#All],5,FALSE)</f>
        <v>1185 TB</v>
      </c>
      <c r="E35" s="27" t="str">
        <f>VLOOKUP(Ruimtestaat[[#This Row],[Code]],Locaties[#All],6,FALSE)</f>
        <v>Amstelveen</v>
      </c>
      <c r="F35" s="74"/>
      <c r="G35" s="27" t="s">
        <v>456</v>
      </c>
      <c r="H35" s="27" t="s">
        <v>478</v>
      </c>
      <c r="I35" s="24" t="s">
        <v>376</v>
      </c>
      <c r="J35" s="27">
        <v>2</v>
      </c>
      <c r="K35" s="74" t="str">
        <f>VLOOKUP(J35,Ruimtegroepen[],2,FALSE)</f>
        <v>Kantoren</v>
      </c>
      <c r="L35" s="27" t="s">
        <v>113</v>
      </c>
      <c r="M35" s="27" t="s">
        <v>39</v>
      </c>
      <c r="N35" s="107">
        <v>22</v>
      </c>
      <c r="O35" s="107"/>
      <c r="P35" s="118" t="str">
        <f>LEFT(VLOOKUP(Ruimtestaat[[#This Row],[Ruimte code]],Ruimtegroepen[#All],4,1),2)</f>
        <v xml:space="preserve">B </v>
      </c>
      <c r="Q35" s="107"/>
      <c r="R35" s="108">
        <v>42</v>
      </c>
      <c r="S35" s="109" t="s">
        <v>15</v>
      </c>
      <c r="T35" s="110">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35" s="110">
        <f>IF(T35&gt;0,VLOOKUP($J35,Ruimtegroepen[],3,FALSE)*VLOOKUP($L35,Vloersoorten[],3,FALSE)*VLOOKUP($S35,Frequenties[],3,FALSE)*VLOOKUP($A35,Locaties[],3,FALSE),0)</f>
        <v>0</v>
      </c>
      <c r="V35" s="111">
        <f>Ruimtestaat[[#This Row],[Uitvoeringen werkdagen]]*Ruimtestaat[[#This Row],[Oppervlak (netto)]]</f>
        <v>924</v>
      </c>
      <c r="W35" s="112">
        <f>IF(U35&gt;0,Ruimtestaat[[#This Row],[Prest. (m2 /jaar) werkdagen]]/Ruimtestaat[[#This Row],[Norm (m2/uur) werkdagen]],0)</f>
        <v>0</v>
      </c>
      <c r="X35" s="113">
        <f>Ruimtestaat[[#This Row],[uren / jaar werkdagen]]*Tariefsopbouw!$E$35</f>
        <v>0</v>
      </c>
      <c r="Y35" s="110"/>
      <c r="Z35" s="114">
        <f>IF(Ruimtestaat[[#This Row],[Frequentie weekend]]&gt;0,VALUE(LEFT(Y35,1))*R35,0)</f>
        <v>0</v>
      </c>
      <c r="AA35" s="110">
        <f>IF($Z35&gt;0,VLOOKUP($J35,Ruimtegroepen[],3,FALSE)*VLOOKUP($L35,Vloersoorten[],3,FALSE)*VLOOKUP($Y35,Frequenties[],3,FALSE)*VLOOKUP($A31,Locaties[],3,FALSE),0)</f>
        <v>0</v>
      </c>
      <c r="AB35" s="112">
        <f>Ruimtestaat[[#This Row],[Uitvoeringen weekend]]*Ruimtestaat[[#This Row],[Oppervlak (netto)]]</f>
        <v>0</v>
      </c>
      <c r="AC35" s="115">
        <f>IF(AB35&gt;0,Ruimtestaat[[#This Row],[Prest. (m2 /jaar) weekend]]/Ruimtestaat[[#This Row],[Norm (m2/uur) weekend]],0)</f>
        <v>0</v>
      </c>
      <c r="AD35" s="116">
        <f>Ruimtestaat[[#This Row],[uren / jaar weekend]]*Tariefsopbouw!$D$40</f>
        <v>0</v>
      </c>
      <c r="AE35" s="82">
        <f>Ruimtestaat[[#This Row],[Prest. (m2 /jaar) weekend]]+Ruimtestaat[[#This Row],[Prest. (m2 /jaar) werkdagen]]</f>
        <v>924</v>
      </c>
      <c r="AF35" s="82">
        <f>Ruimtestaat[[#This Row],[uren / jaar weekend]]+Ruimtestaat[[#This Row],[uren / jaar werkdagen]]</f>
        <v>0</v>
      </c>
      <c r="AG35" s="83">
        <f>Ruimtestaat[[#This Row],[kosten / jaar weekend]]+Ruimtestaat[[#This Row],[kosten / jaar werkdagen]]</f>
        <v>0</v>
      </c>
      <c r="AH35" s="117"/>
      <c r="HL35" s="87"/>
    </row>
    <row r="36" spans="1:220" ht="15" customHeight="1">
      <c r="A36" s="136">
        <v>1</v>
      </c>
      <c r="B36" s="27" t="str">
        <f>VLOOKUP(Ruimtestaat[[#This Row],[Code]],Locaties[#All],2,FALSE)</f>
        <v>Amstelveen College</v>
      </c>
      <c r="C36" s="27" t="str">
        <f>VLOOKUP(Ruimtestaat[[#This Row],[Code]],Locaties[#All],4,FALSE)</f>
        <v>Sportlaan 27</v>
      </c>
      <c r="D36" s="27" t="str">
        <f>VLOOKUP(Ruimtestaat[[#This Row],[Code]],Locaties[#All],5,FALSE)</f>
        <v>1185 TB</v>
      </c>
      <c r="E36" s="27" t="str">
        <f>VLOOKUP(Ruimtestaat[[#This Row],[Code]],Locaties[#All],6,FALSE)</f>
        <v>Amstelveen</v>
      </c>
      <c r="F36" s="74"/>
      <c r="G36" s="27" t="s">
        <v>456</v>
      </c>
      <c r="H36" s="27" t="s">
        <v>410</v>
      </c>
      <c r="I36" s="24" t="s">
        <v>412</v>
      </c>
      <c r="J36" s="27">
        <v>8</v>
      </c>
      <c r="K36" s="74" t="str">
        <f>VLOOKUP(J36,Ruimtegroepen[],2,FALSE)</f>
        <v>Mediatheek / OLC</v>
      </c>
      <c r="L36" s="27" t="s">
        <v>114</v>
      </c>
      <c r="M36" s="27" t="s">
        <v>139</v>
      </c>
      <c r="N36" s="107">
        <v>64</v>
      </c>
      <c r="O36" s="107"/>
      <c r="P36" s="118" t="str">
        <f>LEFT(VLOOKUP(Ruimtestaat[[#This Row],[Ruimte code]],Ruimtegroepen[#All],4,1),2)</f>
        <v xml:space="preserve">L </v>
      </c>
      <c r="Q36" s="107"/>
      <c r="R36" s="108">
        <v>40</v>
      </c>
      <c r="S36" s="109" t="s">
        <v>18</v>
      </c>
      <c r="T36" s="110">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6" s="110">
        <f>IF(T36&gt;0,VLOOKUP($J36,Ruimtegroepen[],3,FALSE)*VLOOKUP($L36,Vloersoorten[],3,FALSE)*VLOOKUP($S36,Frequenties[],3,FALSE)*VLOOKUP($A36,Locaties[],3,FALSE),0)</f>
        <v>0</v>
      </c>
      <c r="V36" s="111">
        <f>Ruimtestaat[[#This Row],[Uitvoeringen werkdagen]]*Ruimtestaat[[#This Row],[Oppervlak (netto)]]</f>
        <v>7680</v>
      </c>
      <c r="W36" s="112">
        <f>IF(U36&gt;0,Ruimtestaat[[#This Row],[Prest. (m2 /jaar) werkdagen]]/Ruimtestaat[[#This Row],[Norm (m2/uur) werkdagen]],0)</f>
        <v>0</v>
      </c>
      <c r="X36" s="113">
        <f>Ruimtestaat[[#This Row],[uren / jaar werkdagen]]*Tariefsopbouw!$E$35</f>
        <v>0</v>
      </c>
      <c r="Y36" s="110"/>
      <c r="Z36" s="114">
        <f>IF(Ruimtestaat[[#This Row],[Frequentie weekend]]&gt;0,VALUE(LEFT(Y36,1))*R36,0)</f>
        <v>0</v>
      </c>
      <c r="AA36" s="110">
        <f>IF($Z36&gt;0,VLOOKUP($J36,Ruimtegroepen[],3,FALSE)*VLOOKUP($L36,Vloersoorten[],3,FALSE)*VLOOKUP($Y36,Frequenties[],3,FALSE)*VLOOKUP($A32,Locaties[],3,FALSE),0)</f>
        <v>0</v>
      </c>
      <c r="AB36" s="112">
        <f>Ruimtestaat[[#This Row],[Uitvoeringen weekend]]*Ruimtestaat[[#This Row],[Oppervlak (netto)]]</f>
        <v>0</v>
      </c>
      <c r="AC36" s="115">
        <f>IF(AB36&gt;0,Ruimtestaat[[#This Row],[Prest. (m2 /jaar) weekend]]/Ruimtestaat[[#This Row],[Norm (m2/uur) weekend]],0)</f>
        <v>0</v>
      </c>
      <c r="AD36" s="116">
        <f>Ruimtestaat[[#This Row],[uren / jaar weekend]]*Tariefsopbouw!$D$40</f>
        <v>0</v>
      </c>
      <c r="AE36" s="82">
        <f>Ruimtestaat[[#This Row],[Prest. (m2 /jaar) weekend]]+Ruimtestaat[[#This Row],[Prest. (m2 /jaar) werkdagen]]</f>
        <v>7680</v>
      </c>
      <c r="AF36" s="82">
        <f>Ruimtestaat[[#This Row],[uren / jaar weekend]]+Ruimtestaat[[#This Row],[uren / jaar werkdagen]]</f>
        <v>0</v>
      </c>
      <c r="AG36" s="83">
        <f>Ruimtestaat[[#This Row],[kosten / jaar weekend]]+Ruimtestaat[[#This Row],[kosten / jaar werkdagen]]</f>
        <v>0</v>
      </c>
      <c r="AH36" s="117"/>
      <c r="HL36" s="87"/>
    </row>
    <row r="37" spans="1:220" ht="15" customHeight="1">
      <c r="A37" s="136">
        <v>1</v>
      </c>
      <c r="B37" s="27" t="str">
        <f>VLOOKUP(Ruimtestaat[[#This Row],[Code]],Locaties[#All],2,FALSE)</f>
        <v>Amstelveen College</v>
      </c>
      <c r="C37" s="27" t="str">
        <f>VLOOKUP(Ruimtestaat[[#This Row],[Code]],Locaties[#All],4,FALSE)</f>
        <v>Sportlaan 27</v>
      </c>
      <c r="D37" s="27" t="str">
        <f>VLOOKUP(Ruimtestaat[[#This Row],[Code]],Locaties[#All],5,FALSE)</f>
        <v>1185 TB</v>
      </c>
      <c r="E37" s="27" t="str">
        <f>VLOOKUP(Ruimtestaat[[#This Row],[Code]],Locaties[#All],6,FALSE)</f>
        <v>Amstelveen</v>
      </c>
      <c r="F37" s="74"/>
      <c r="G37" s="27" t="s">
        <v>456</v>
      </c>
      <c r="H37" s="27" t="s">
        <v>413</v>
      </c>
      <c r="I37" s="24" t="s">
        <v>369</v>
      </c>
      <c r="J37" s="27">
        <v>6</v>
      </c>
      <c r="K37" s="74" t="str">
        <f>VLOOKUP(J37,Ruimtegroepen[],2,FALSE)</f>
        <v>Gangen/hallen</v>
      </c>
      <c r="L37" s="27" t="s">
        <v>114</v>
      </c>
      <c r="M37" s="27" t="s">
        <v>139</v>
      </c>
      <c r="N37" s="107">
        <v>7</v>
      </c>
      <c r="O37" s="107"/>
      <c r="P37" s="118" t="str">
        <f>LEFT(VLOOKUP(Ruimtestaat[[#This Row],[Ruimte code]],Ruimtegroepen[#All],4,1),2)</f>
        <v xml:space="preserve">V </v>
      </c>
      <c r="Q37" s="107"/>
      <c r="R37" s="108">
        <v>42</v>
      </c>
      <c r="S37" s="109" t="s">
        <v>2</v>
      </c>
      <c r="T37" s="110">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37" s="110">
        <f>IF(T37&gt;0,VLOOKUP($J37,Ruimtegroepen[],3,FALSE)*VLOOKUP($L37,Vloersoorten[],3,FALSE)*VLOOKUP($S37,Frequenties[],3,FALSE)*VLOOKUP($A37,Locaties[],3,FALSE),0)</f>
        <v>0</v>
      </c>
      <c r="V37" s="111">
        <f>Ruimtestaat[[#This Row],[Uitvoeringen werkdagen]]*Ruimtestaat[[#This Row],[Oppervlak (netto)]]</f>
        <v>1470</v>
      </c>
      <c r="W37" s="112">
        <f>IF(U37&gt;0,Ruimtestaat[[#This Row],[Prest. (m2 /jaar) werkdagen]]/Ruimtestaat[[#This Row],[Norm (m2/uur) werkdagen]],0)</f>
        <v>0</v>
      </c>
      <c r="X37" s="113">
        <f>Ruimtestaat[[#This Row],[uren / jaar werkdagen]]*Tariefsopbouw!$E$35</f>
        <v>0</v>
      </c>
      <c r="Y37" s="110"/>
      <c r="Z37" s="114">
        <f>IF(Ruimtestaat[[#This Row],[Frequentie weekend]]&gt;0,VALUE(LEFT(Y37,1))*R37,0)</f>
        <v>0</v>
      </c>
      <c r="AA37" s="110">
        <f>IF($Z37&gt;0,VLOOKUP($J37,Ruimtegroepen[],3,FALSE)*VLOOKUP($L37,Vloersoorten[],3,FALSE)*VLOOKUP($Y37,Frequenties[],3,FALSE)*VLOOKUP($A33,Locaties[],3,FALSE),0)</f>
        <v>0</v>
      </c>
      <c r="AB37" s="112">
        <f>Ruimtestaat[[#This Row],[Uitvoeringen weekend]]*Ruimtestaat[[#This Row],[Oppervlak (netto)]]</f>
        <v>0</v>
      </c>
      <c r="AC37" s="115">
        <f>IF(AB37&gt;0,Ruimtestaat[[#This Row],[Prest. (m2 /jaar) weekend]]/Ruimtestaat[[#This Row],[Norm (m2/uur) weekend]],0)</f>
        <v>0</v>
      </c>
      <c r="AD37" s="116">
        <f>Ruimtestaat[[#This Row],[uren / jaar weekend]]*Tariefsopbouw!$D$40</f>
        <v>0</v>
      </c>
      <c r="AE37" s="82">
        <f>Ruimtestaat[[#This Row],[Prest. (m2 /jaar) weekend]]+Ruimtestaat[[#This Row],[Prest. (m2 /jaar) werkdagen]]</f>
        <v>1470</v>
      </c>
      <c r="AF37" s="82">
        <f>Ruimtestaat[[#This Row],[uren / jaar weekend]]+Ruimtestaat[[#This Row],[uren / jaar werkdagen]]</f>
        <v>0</v>
      </c>
      <c r="AG37" s="83">
        <f>Ruimtestaat[[#This Row],[kosten / jaar weekend]]+Ruimtestaat[[#This Row],[kosten / jaar werkdagen]]</f>
        <v>0</v>
      </c>
      <c r="AH37" s="117"/>
      <c r="HL37" s="87"/>
    </row>
    <row r="38" spans="1:220" ht="15" customHeight="1">
      <c r="A38" s="136">
        <v>1</v>
      </c>
      <c r="B38" s="27" t="str">
        <f>VLOOKUP(Ruimtestaat[[#This Row],[Code]],Locaties[#All],2,FALSE)</f>
        <v>Amstelveen College</v>
      </c>
      <c r="C38" s="27" t="str">
        <f>VLOOKUP(Ruimtestaat[[#This Row],[Code]],Locaties[#All],4,FALSE)</f>
        <v>Sportlaan 27</v>
      </c>
      <c r="D38" s="27" t="str">
        <f>VLOOKUP(Ruimtestaat[[#This Row],[Code]],Locaties[#All],5,FALSE)</f>
        <v>1185 TB</v>
      </c>
      <c r="E38" s="27" t="str">
        <f>VLOOKUP(Ruimtestaat[[#This Row],[Code]],Locaties[#All],6,FALSE)</f>
        <v>Amstelveen</v>
      </c>
      <c r="F38" s="74"/>
      <c r="G38" s="27" t="s">
        <v>456</v>
      </c>
      <c r="H38" s="27" t="s">
        <v>388</v>
      </c>
      <c r="I38" s="24" t="s">
        <v>397</v>
      </c>
      <c r="J38" s="27">
        <v>14</v>
      </c>
      <c r="K38" s="74" t="str">
        <f>VLOOKUP(J38,Ruimtegroepen[],2,FALSE)</f>
        <v>Praktijklokalen binas/zorg</v>
      </c>
      <c r="L38" s="27" t="s">
        <v>115</v>
      </c>
      <c r="M38" s="27" t="s">
        <v>271</v>
      </c>
      <c r="N38" s="119">
        <v>187</v>
      </c>
      <c r="O38" s="107"/>
      <c r="P38" s="118" t="str">
        <f>LEFT(VLOOKUP(Ruimtestaat[[#This Row],[Ruimte code]],Ruimtegroepen[#All],4,1),2)</f>
        <v xml:space="preserve">L </v>
      </c>
      <c r="Q38" s="107"/>
      <c r="R38" s="108">
        <v>40</v>
      </c>
      <c r="S38" s="109" t="s">
        <v>18</v>
      </c>
      <c r="T38" s="110">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8" s="110">
        <f>IF(T38&gt;0,VLOOKUP($J38,Ruimtegroepen[],3,FALSE)*VLOOKUP($L38,Vloersoorten[],3,FALSE)*VLOOKUP($S38,Frequenties[],3,FALSE)*VLOOKUP($A38,Locaties[],3,FALSE),0)</f>
        <v>0</v>
      </c>
      <c r="V38" s="111">
        <f>Ruimtestaat[[#This Row],[Uitvoeringen werkdagen]]*Ruimtestaat[[#This Row],[Oppervlak (netto)]]</f>
        <v>22440</v>
      </c>
      <c r="W38" s="112">
        <f>IF(U38&gt;0,Ruimtestaat[[#This Row],[Prest. (m2 /jaar) werkdagen]]/Ruimtestaat[[#This Row],[Norm (m2/uur) werkdagen]],0)</f>
        <v>0</v>
      </c>
      <c r="X38" s="113">
        <f>Ruimtestaat[[#This Row],[uren / jaar werkdagen]]*Tariefsopbouw!$E$35</f>
        <v>0</v>
      </c>
      <c r="Y38" s="110"/>
      <c r="Z38" s="114">
        <f>IF(Ruimtestaat[[#This Row],[Frequentie weekend]]&gt;0,VALUE(LEFT(Y38,1))*R38,0)</f>
        <v>0</v>
      </c>
      <c r="AA38" s="110">
        <f>IF($Z38&gt;0,VLOOKUP($J38,Ruimtegroepen[],3,FALSE)*VLOOKUP($L38,Vloersoorten[],3,FALSE)*VLOOKUP($Y38,Frequenties[],3,FALSE)*VLOOKUP($A34,Locaties[],3,FALSE),0)</f>
        <v>0</v>
      </c>
      <c r="AB38" s="112">
        <f>Ruimtestaat[[#This Row],[Uitvoeringen weekend]]*Ruimtestaat[[#This Row],[Oppervlak (netto)]]</f>
        <v>0</v>
      </c>
      <c r="AC38" s="115">
        <f>IF(AB38&gt;0,Ruimtestaat[[#This Row],[Prest. (m2 /jaar) weekend]]/Ruimtestaat[[#This Row],[Norm (m2/uur) weekend]],0)</f>
        <v>0</v>
      </c>
      <c r="AD38" s="116">
        <f>Ruimtestaat[[#This Row],[uren / jaar weekend]]*Tariefsopbouw!$D$40</f>
        <v>0</v>
      </c>
      <c r="AE38" s="82">
        <f>Ruimtestaat[[#This Row],[Prest. (m2 /jaar) weekend]]+Ruimtestaat[[#This Row],[Prest. (m2 /jaar) werkdagen]]</f>
        <v>22440</v>
      </c>
      <c r="AF38" s="82">
        <f>Ruimtestaat[[#This Row],[uren / jaar weekend]]+Ruimtestaat[[#This Row],[uren / jaar werkdagen]]</f>
        <v>0</v>
      </c>
      <c r="AG38" s="83">
        <f>Ruimtestaat[[#This Row],[kosten / jaar weekend]]+Ruimtestaat[[#This Row],[kosten / jaar werkdagen]]</f>
        <v>0</v>
      </c>
      <c r="AH38" s="117"/>
      <c r="HL38" s="87"/>
    </row>
    <row r="39" spans="1:220" ht="15" customHeight="1">
      <c r="A39" s="136">
        <v>1</v>
      </c>
      <c r="B39" s="27" t="str">
        <f>VLOOKUP(Ruimtestaat[[#This Row],[Code]],Locaties[#All],2,FALSE)</f>
        <v>Amstelveen College</v>
      </c>
      <c r="C39" s="27" t="str">
        <f>VLOOKUP(Ruimtestaat[[#This Row],[Code]],Locaties[#All],4,FALSE)</f>
        <v>Sportlaan 27</v>
      </c>
      <c r="D39" s="27" t="str">
        <f>VLOOKUP(Ruimtestaat[[#This Row],[Code]],Locaties[#All],5,FALSE)</f>
        <v>1185 TB</v>
      </c>
      <c r="E39" s="27" t="str">
        <f>VLOOKUP(Ruimtestaat[[#This Row],[Code]],Locaties[#All],6,FALSE)</f>
        <v>Amstelveen</v>
      </c>
      <c r="F39" s="74"/>
      <c r="G39" s="27" t="s">
        <v>456</v>
      </c>
      <c r="H39" s="27" t="s">
        <v>390</v>
      </c>
      <c r="I39" s="24" t="s">
        <v>479</v>
      </c>
      <c r="J39" s="27">
        <v>16</v>
      </c>
      <c r="K39" s="74" t="str">
        <f>VLOOKUP(J39,Ruimtegroepen[],2,FALSE)</f>
        <v>Leslokalen theorie</v>
      </c>
      <c r="L39" s="27" t="s">
        <v>114</v>
      </c>
      <c r="M39" s="27" t="s">
        <v>139</v>
      </c>
      <c r="N39" s="107">
        <v>55</v>
      </c>
      <c r="O39" s="107"/>
      <c r="P39" s="118" t="str">
        <f>LEFT(VLOOKUP(Ruimtestaat[[#This Row],[Ruimte code]],Ruimtegroepen[#All],4,1),2)</f>
        <v xml:space="preserve">L </v>
      </c>
      <c r="Q39" s="107"/>
      <c r="R39" s="108">
        <v>40</v>
      </c>
      <c r="S39" s="109" t="s">
        <v>18</v>
      </c>
      <c r="T39" s="110">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9" s="110">
        <f>IF(T39&gt;0,VLOOKUP($J39,Ruimtegroepen[],3,FALSE)*VLOOKUP($L39,Vloersoorten[],3,FALSE)*VLOOKUP($S39,Frequenties[],3,FALSE)*VLOOKUP($A39,Locaties[],3,FALSE),0)</f>
        <v>0</v>
      </c>
      <c r="V39" s="111">
        <f>Ruimtestaat[[#This Row],[Uitvoeringen werkdagen]]*Ruimtestaat[[#This Row],[Oppervlak (netto)]]</f>
        <v>6600</v>
      </c>
      <c r="W39" s="112">
        <f>IF(U39&gt;0,Ruimtestaat[[#This Row],[Prest. (m2 /jaar) werkdagen]]/Ruimtestaat[[#This Row],[Norm (m2/uur) werkdagen]],0)</f>
        <v>0</v>
      </c>
      <c r="X39" s="113">
        <f>Ruimtestaat[[#This Row],[uren / jaar werkdagen]]*Tariefsopbouw!$E$35</f>
        <v>0</v>
      </c>
      <c r="Y39" s="110"/>
      <c r="Z39" s="114">
        <f>IF(Ruimtestaat[[#This Row],[Frequentie weekend]]&gt;0,VALUE(LEFT(Y39,1))*R39,0)</f>
        <v>0</v>
      </c>
      <c r="AA39" s="110">
        <f>IF($Z39&gt;0,VLOOKUP($J39,Ruimtegroepen[],3,FALSE)*VLOOKUP($L39,Vloersoorten[],3,FALSE)*VLOOKUP($Y39,Frequenties[],3,FALSE)*VLOOKUP($A35,Locaties[],3,FALSE),0)</f>
        <v>0</v>
      </c>
      <c r="AB39" s="112">
        <f>Ruimtestaat[[#This Row],[Uitvoeringen weekend]]*Ruimtestaat[[#This Row],[Oppervlak (netto)]]</f>
        <v>0</v>
      </c>
      <c r="AC39" s="115">
        <f>IF(AB39&gt;0,Ruimtestaat[[#This Row],[Prest. (m2 /jaar) weekend]]/Ruimtestaat[[#This Row],[Norm (m2/uur) weekend]],0)</f>
        <v>0</v>
      </c>
      <c r="AD39" s="116">
        <f>Ruimtestaat[[#This Row],[uren / jaar weekend]]*Tariefsopbouw!$D$40</f>
        <v>0</v>
      </c>
      <c r="AE39" s="82">
        <f>Ruimtestaat[[#This Row],[Prest. (m2 /jaar) weekend]]+Ruimtestaat[[#This Row],[Prest. (m2 /jaar) werkdagen]]</f>
        <v>6600</v>
      </c>
      <c r="AF39" s="82">
        <f>Ruimtestaat[[#This Row],[uren / jaar weekend]]+Ruimtestaat[[#This Row],[uren / jaar werkdagen]]</f>
        <v>0</v>
      </c>
      <c r="AG39" s="83">
        <f>Ruimtestaat[[#This Row],[kosten / jaar weekend]]+Ruimtestaat[[#This Row],[kosten / jaar werkdagen]]</f>
        <v>0</v>
      </c>
      <c r="AH39" s="117"/>
      <c r="HL39" s="87"/>
    </row>
    <row r="40" spans="1:220" ht="15" customHeight="1">
      <c r="A40" s="136">
        <v>1</v>
      </c>
      <c r="B40" s="27" t="str">
        <f>VLOOKUP(Ruimtestaat[[#This Row],[Code]],Locaties[#All],2,FALSE)</f>
        <v>Amstelveen College</v>
      </c>
      <c r="C40" s="27" t="str">
        <f>VLOOKUP(Ruimtestaat[[#This Row],[Code]],Locaties[#All],4,FALSE)</f>
        <v>Sportlaan 27</v>
      </c>
      <c r="D40" s="27" t="str">
        <f>VLOOKUP(Ruimtestaat[[#This Row],[Code]],Locaties[#All],5,FALSE)</f>
        <v>1185 TB</v>
      </c>
      <c r="E40" s="27" t="str">
        <f>VLOOKUP(Ruimtestaat[[#This Row],[Code]],Locaties[#All],6,FALSE)</f>
        <v>Amstelveen</v>
      </c>
      <c r="F40" s="74"/>
      <c r="G40" s="27" t="s">
        <v>456</v>
      </c>
      <c r="H40" s="27" t="s">
        <v>392</v>
      </c>
      <c r="I40" s="24" t="s">
        <v>370</v>
      </c>
      <c r="J40" s="27">
        <v>20</v>
      </c>
      <c r="K40" s="74" t="str">
        <f>VLOOKUP(J40,Ruimtegroepen[],2,FALSE)</f>
        <v>Niet in onderhoud</v>
      </c>
      <c r="M40" s="27"/>
      <c r="N40" s="107"/>
      <c r="O40" s="107">
        <v>5</v>
      </c>
      <c r="P40" s="118" t="str">
        <f>LEFT(VLOOKUP(Ruimtestaat[[#This Row],[Ruimte code]],Ruimtegroepen[#All],4,1),2)</f>
        <v/>
      </c>
      <c r="Q40" s="107"/>
      <c r="R40" s="108"/>
      <c r="S40" s="109"/>
      <c r="T40" s="110">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 s="110">
        <f>IF(T40&gt;0,VLOOKUP($J40,Ruimtegroepen[],3,FALSE)*VLOOKUP($L40,Vloersoorten[],3,FALSE)*VLOOKUP($S40,Frequenties[],3,FALSE)*VLOOKUP($A40,Locaties[],3,FALSE),0)</f>
        <v>0</v>
      </c>
      <c r="V40" s="111">
        <f>Ruimtestaat[[#This Row],[Uitvoeringen werkdagen]]*Ruimtestaat[[#This Row],[Oppervlak (netto)]]</f>
        <v>0</v>
      </c>
      <c r="W40" s="112">
        <f>IF(U40&gt;0,Ruimtestaat[[#This Row],[Prest. (m2 /jaar) werkdagen]]/Ruimtestaat[[#This Row],[Norm (m2/uur) werkdagen]],0)</f>
        <v>0</v>
      </c>
      <c r="X40" s="113">
        <f>Ruimtestaat[[#This Row],[uren / jaar werkdagen]]*Tariefsopbouw!$E$35</f>
        <v>0</v>
      </c>
      <c r="Y40" s="110"/>
      <c r="Z40" s="114">
        <f>IF(Ruimtestaat[[#This Row],[Frequentie weekend]]&gt;0,VALUE(LEFT(Y40,1))*R40,0)</f>
        <v>0</v>
      </c>
      <c r="AA40" s="110">
        <f>IF($Z40&gt;0,VLOOKUP($J40,Ruimtegroepen[],3,FALSE)*VLOOKUP($L40,Vloersoorten[],3,FALSE)*VLOOKUP($Y40,Frequenties[],3,FALSE)*VLOOKUP($A36,Locaties[],3,FALSE),0)</f>
        <v>0</v>
      </c>
      <c r="AB40" s="112">
        <f>Ruimtestaat[[#This Row],[Uitvoeringen weekend]]*Ruimtestaat[[#This Row],[Oppervlak (netto)]]</f>
        <v>0</v>
      </c>
      <c r="AC40" s="115">
        <f>IF(AB40&gt;0,Ruimtestaat[[#This Row],[Prest. (m2 /jaar) weekend]]/Ruimtestaat[[#This Row],[Norm (m2/uur) weekend]],0)</f>
        <v>0</v>
      </c>
      <c r="AD40" s="116">
        <f>Ruimtestaat[[#This Row],[uren / jaar weekend]]*Tariefsopbouw!$D$40</f>
        <v>0</v>
      </c>
      <c r="AE40" s="82">
        <f>Ruimtestaat[[#This Row],[Prest. (m2 /jaar) weekend]]+Ruimtestaat[[#This Row],[Prest. (m2 /jaar) werkdagen]]</f>
        <v>0</v>
      </c>
      <c r="AF40" s="82">
        <f>Ruimtestaat[[#This Row],[uren / jaar weekend]]+Ruimtestaat[[#This Row],[uren / jaar werkdagen]]</f>
        <v>0</v>
      </c>
      <c r="AG40" s="83">
        <f>Ruimtestaat[[#This Row],[kosten / jaar weekend]]+Ruimtestaat[[#This Row],[kosten / jaar werkdagen]]</f>
        <v>0</v>
      </c>
      <c r="AH40" s="117"/>
      <c r="HL40" s="87"/>
    </row>
    <row r="41" spans="1:220" ht="15" customHeight="1">
      <c r="A41" s="136">
        <v>1</v>
      </c>
      <c r="B41" s="27" t="str">
        <f>VLOOKUP(Ruimtestaat[[#This Row],[Code]],Locaties[#All],2,FALSE)</f>
        <v>Amstelveen College</v>
      </c>
      <c r="C41" s="27" t="str">
        <f>VLOOKUP(Ruimtestaat[[#This Row],[Code]],Locaties[#All],4,FALSE)</f>
        <v>Sportlaan 27</v>
      </c>
      <c r="D41" s="27" t="str">
        <f>VLOOKUP(Ruimtestaat[[#This Row],[Code]],Locaties[#All],5,FALSE)</f>
        <v>1185 TB</v>
      </c>
      <c r="E41" s="27" t="str">
        <f>VLOOKUP(Ruimtestaat[[#This Row],[Code]],Locaties[#All],6,FALSE)</f>
        <v>Amstelveen</v>
      </c>
      <c r="F41" s="74"/>
      <c r="G41" s="27" t="s">
        <v>456</v>
      </c>
      <c r="H41" s="27" t="s">
        <v>393</v>
      </c>
      <c r="I41" s="24" t="s">
        <v>464</v>
      </c>
      <c r="J41" s="27">
        <v>5</v>
      </c>
      <c r="K41" s="74" t="str">
        <f>VLOOKUP(J41,Ruimtegroepen[],2,FALSE)</f>
        <v>Sanitair</v>
      </c>
      <c r="L41" s="27" t="s">
        <v>115</v>
      </c>
      <c r="M41" s="27" t="s">
        <v>271</v>
      </c>
      <c r="N41" s="107">
        <v>8</v>
      </c>
      <c r="O41" s="107"/>
      <c r="P41" s="118" t="str">
        <f>LEFT(VLOOKUP(Ruimtestaat[[#This Row],[Ruimte code]],Ruimtegroepen[#All],4,1),2)</f>
        <v xml:space="preserve">S </v>
      </c>
      <c r="Q41" s="107"/>
      <c r="R41" s="108">
        <v>42</v>
      </c>
      <c r="S41" s="109" t="s">
        <v>19</v>
      </c>
      <c r="T41" s="110">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41" s="110">
        <f>IF(T41&gt;0,VLOOKUP($J41,Ruimtegroepen[],3,FALSE)*VLOOKUP($L41,Vloersoorten[],3,FALSE)*VLOOKUP($S41,Frequenties[],3,FALSE)*VLOOKUP($A41,Locaties[],3,FALSE),0)</f>
        <v>0</v>
      </c>
      <c r="V41" s="111">
        <f>Ruimtestaat[[#This Row],[Uitvoeringen werkdagen]]*Ruimtestaat[[#This Row],[Oppervlak (netto)]]</f>
        <v>3360</v>
      </c>
      <c r="W41" s="112">
        <f>IF(U41&gt;0,Ruimtestaat[[#This Row],[Prest. (m2 /jaar) werkdagen]]/Ruimtestaat[[#This Row],[Norm (m2/uur) werkdagen]],0)</f>
        <v>0</v>
      </c>
      <c r="X41" s="113">
        <f>Ruimtestaat[[#This Row],[uren / jaar werkdagen]]*Tariefsopbouw!$E$35</f>
        <v>0</v>
      </c>
      <c r="Y41" s="110"/>
      <c r="Z41" s="114">
        <f>IF(Ruimtestaat[[#This Row],[Frequentie weekend]]&gt;0,VALUE(LEFT(Y41,1))*R41,0)</f>
        <v>0</v>
      </c>
      <c r="AA41" s="110">
        <f>IF($Z41&gt;0,VLOOKUP($J41,Ruimtegroepen[],3,FALSE)*VLOOKUP($L41,Vloersoorten[],3,FALSE)*VLOOKUP($Y41,Frequenties[],3,FALSE)*VLOOKUP($A37,Locaties[],3,FALSE),0)</f>
        <v>0</v>
      </c>
      <c r="AB41" s="112">
        <f>Ruimtestaat[[#This Row],[Uitvoeringen weekend]]*Ruimtestaat[[#This Row],[Oppervlak (netto)]]</f>
        <v>0</v>
      </c>
      <c r="AC41" s="115">
        <f>IF(AB41&gt;0,Ruimtestaat[[#This Row],[Prest. (m2 /jaar) weekend]]/Ruimtestaat[[#This Row],[Norm (m2/uur) weekend]],0)</f>
        <v>0</v>
      </c>
      <c r="AD41" s="116">
        <f>Ruimtestaat[[#This Row],[uren / jaar weekend]]*Tariefsopbouw!$D$40</f>
        <v>0</v>
      </c>
      <c r="AE41" s="82">
        <f>Ruimtestaat[[#This Row],[Prest. (m2 /jaar) weekend]]+Ruimtestaat[[#This Row],[Prest. (m2 /jaar) werkdagen]]</f>
        <v>3360</v>
      </c>
      <c r="AF41" s="82">
        <f>Ruimtestaat[[#This Row],[uren / jaar weekend]]+Ruimtestaat[[#This Row],[uren / jaar werkdagen]]</f>
        <v>0</v>
      </c>
      <c r="AG41" s="83">
        <f>Ruimtestaat[[#This Row],[kosten / jaar weekend]]+Ruimtestaat[[#This Row],[kosten / jaar werkdagen]]</f>
        <v>0</v>
      </c>
      <c r="AH41" s="117"/>
      <c r="HL41" s="87"/>
    </row>
    <row r="42" spans="1:220" ht="15" customHeight="1">
      <c r="A42" s="136">
        <v>1</v>
      </c>
      <c r="B42" s="27" t="str">
        <f>VLOOKUP(Ruimtestaat[[#This Row],[Code]],Locaties[#All],2,FALSE)</f>
        <v>Amstelveen College</v>
      </c>
      <c r="C42" s="27" t="str">
        <f>VLOOKUP(Ruimtestaat[[#This Row],[Code]],Locaties[#All],4,FALSE)</f>
        <v>Sportlaan 27</v>
      </c>
      <c r="D42" s="27" t="str">
        <f>VLOOKUP(Ruimtestaat[[#This Row],[Code]],Locaties[#All],5,FALSE)</f>
        <v>1185 TB</v>
      </c>
      <c r="E42" s="27" t="str">
        <f>VLOOKUP(Ruimtestaat[[#This Row],[Code]],Locaties[#All],6,FALSE)</f>
        <v>Amstelveen</v>
      </c>
      <c r="F42" s="74"/>
      <c r="G42" s="27" t="s">
        <v>456</v>
      </c>
      <c r="H42" s="27" t="s">
        <v>391</v>
      </c>
      <c r="I42" s="24" t="s">
        <v>368</v>
      </c>
      <c r="J42" s="27">
        <v>16</v>
      </c>
      <c r="K42" s="74" t="str">
        <f>VLOOKUP(J42,Ruimtegroepen[],2,FALSE)</f>
        <v>Leslokalen theorie</v>
      </c>
      <c r="L42" s="27" t="s">
        <v>114</v>
      </c>
      <c r="M42" s="27" t="s">
        <v>139</v>
      </c>
      <c r="N42" s="107">
        <v>57</v>
      </c>
      <c r="O42" s="107"/>
      <c r="P42" s="118" t="str">
        <f>LEFT(VLOOKUP(Ruimtestaat[[#This Row],[Ruimte code]],Ruimtegroepen[#All],4,1),2)</f>
        <v xml:space="preserve">L </v>
      </c>
      <c r="Q42" s="107"/>
      <c r="R42" s="108">
        <v>40</v>
      </c>
      <c r="S42" s="109" t="s">
        <v>18</v>
      </c>
      <c r="T42" s="110">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2" s="110">
        <f>IF(T42&gt;0,VLOOKUP($J42,Ruimtegroepen[],3,FALSE)*VLOOKUP($L42,Vloersoorten[],3,FALSE)*VLOOKUP($S42,Frequenties[],3,FALSE)*VLOOKUP($A42,Locaties[],3,FALSE),0)</f>
        <v>0</v>
      </c>
      <c r="V42" s="111">
        <f>Ruimtestaat[[#This Row],[Uitvoeringen werkdagen]]*Ruimtestaat[[#This Row],[Oppervlak (netto)]]</f>
        <v>6840</v>
      </c>
      <c r="W42" s="112">
        <f>IF(U42&gt;0,Ruimtestaat[[#This Row],[Prest. (m2 /jaar) werkdagen]]/Ruimtestaat[[#This Row],[Norm (m2/uur) werkdagen]],0)</f>
        <v>0</v>
      </c>
      <c r="X42" s="113">
        <f>Ruimtestaat[[#This Row],[uren / jaar werkdagen]]*Tariefsopbouw!$E$35</f>
        <v>0</v>
      </c>
      <c r="Y42" s="110"/>
      <c r="Z42" s="114">
        <f>IF(Ruimtestaat[[#This Row],[Frequentie weekend]]&gt;0,VALUE(LEFT(Y42,1))*R42,0)</f>
        <v>0</v>
      </c>
      <c r="AA42" s="110">
        <f>IF($Z42&gt;0,VLOOKUP($J42,Ruimtegroepen[],3,FALSE)*VLOOKUP($L42,Vloersoorten[],3,FALSE)*VLOOKUP($Y42,Frequenties[],3,FALSE)*VLOOKUP($A38,Locaties[],3,FALSE),0)</f>
        <v>0</v>
      </c>
      <c r="AB42" s="112">
        <f>Ruimtestaat[[#This Row],[Uitvoeringen weekend]]*Ruimtestaat[[#This Row],[Oppervlak (netto)]]</f>
        <v>0</v>
      </c>
      <c r="AC42" s="115">
        <f>IF(AB42&gt;0,Ruimtestaat[[#This Row],[Prest. (m2 /jaar) weekend]]/Ruimtestaat[[#This Row],[Norm (m2/uur) weekend]],0)</f>
        <v>0</v>
      </c>
      <c r="AD42" s="116">
        <f>Ruimtestaat[[#This Row],[uren / jaar weekend]]*Tariefsopbouw!$D$40</f>
        <v>0</v>
      </c>
      <c r="AE42" s="82">
        <f>Ruimtestaat[[#This Row],[Prest. (m2 /jaar) weekend]]+Ruimtestaat[[#This Row],[Prest. (m2 /jaar) werkdagen]]</f>
        <v>6840</v>
      </c>
      <c r="AF42" s="82">
        <f>Ruimtestaat[[#This Row],[uren / jaar weekend]]+Ruimtestaat[[#This Row],[uren / jaar werkdagen]]</f>
        <v>0</v>
      </c>
      <c r="AG42" s="83">
        <f>Ruimtestaat[[#This Row],[kosten / jaar weekend]]+Ruimtestaat[[#This Row],[kosten / jaar werkdagen]]</f>
        <v>0</v>
      </c>
      <c r="AH42" s="117"/>
      <c r="HL42" s="87"/>
    </row>
    <row r="43" spans="1:220" ht="15" customHeight="1">
      <c r="A43" s="136">
        <v>1</v>
      </c>
      <c r="B43" s="27" t="str">
        <f>VLOOKUP(Ruimtestaat[[#This Row],[Code]],Locaties[#All],2,FALSE)</f>
        <v>Amstelveen College</v>
      </c>
      <c r="C43" s="27" t="str">
        <f>VLOOKUP(Ruimtestaat[[#This Row],[Code]],Locaties[#All],4,FALSE)</f>
        <v>Sportlaan 27</v>
      </c>
      <c r="D43" s="27" t="str">
        <f>VLOOKUP(Ruimtestaat[[#This Row],[Code]],Locaties[#All],5,FALSE)</f>
        <v>1185 TB</v>
      </c>
      <c r="E43" s="27" t="str">
        <f>VLOOKUP(Ruimtestaat[[#This Row],[Code]],Locaties[#All],6,FALSE)</f>
        <v>Amstelveen</v>
      </c>
      <c r="F43" s="74"/>
      <c r="G43" s="27" t="s">
        <v>456</v>
      </c>
      <c r="H43" s="27" t="s">
        <v>394</v>
      </c>
      <c r="I43" s="24" t="s">
        <v>368</v>
      </c>
      <c r="J43" s="27">
        <v>16</v>
      </c>
      <c r="K43" s="74" t="str">
        <f>VLOOKUP(J43,Ruimtegroepen[],2,FALSE)</f>
        <v>Leslokalen theorie</v>
      </c>
      <c r="L43" s="27" t="s">
        <v>114</v>
      </c>
      <c r="M43" s="27" t="s">
        <v>139</v>
      </c>
      <c r="N43" s="107">
        <v>57</v>
      </c>
      <c r="O43" s="107"/>
      <c r="P43" s="118" t="str">
        <f>LEFT(VLOOKUP(Ruimtestaat[[#This Row],[Ruimte code]],Ruimtegroepen[#All],4,1),2)</f>
        <v xml:space="preserve">L </v>
      </c>
      <c r="Q43" s="107"/>
      <c r="R43" s="108">
        <v>40</v>
      </c>
      <c r="S43" s="109" t="s">
        <v>18</v>
      </c>
      <c r="T43" s="110">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3" s="110">
        <f>IF(T43&gt;0,VLOOKUP($J43,Ruimtegroepen[],3,FALSE)*VLOOKUP($L43,Vloersoorten[],3,FALSE)*VLOOKUP($S43,Frequenties[],3,FALSE)*VLOOKUP($A43,Locaties[],3,FALSE),0)</f>
        <v>0</v>
      </c>
      <c r="V43" s="111">
        <f>Ruimtestaat[[#This Row],[Uitvoeringen werkdagen]]*Ruimtestaat[[#This Row],[Oppervlak (netto)]]</f>
        <v>6840</v>
      </c>
      <c r="W43" s="112">
        <f>IF(U43&gt;0,Ruimtestaat[[#This Row],[Prest. (m2 /jaar) werkdagen]]/Ruimtestaat[[#This Row],[Norm (m2/uur) werkdagen]],0)</f>
        <v>0</v>
      </c>
      <c r="X43" s="113">
        <f>Ruimtestaat[[#This Row],[uren / jaar werkdagen]]*Tariefsopbouw!$E$35</f>
        <v>0</v>
      </c>
      <c r="Y43" s="110"/>
      <c r="Z43" s="114">
        <f>IF(Ruimtestaat[[#This Row],[Frequentie weekend]]&gt;0,VALUE(LEFT(Y43,1))*R43,0)</f>
        <v>0</v>
      </c>
      <c r="AA43" s="110">
        <f>IF($Z43&gt;0,VLOOKUP($J43,Ruimtegroepen[],3,FALSE)*VLOOKUP($L43,Vloersoorten[],3,FALSE)*VLOOKUP($Y43,Frequenties[],3,FALSE)*VLOOKUP($A39,Locaties[],3,FALSE),0)</f>
        <v>0</v>
      </c>
      <c r="AB43" s="112">
        <f>Ruimtestaat[[#This Row],[Uitvoeringen weekend]]*Ruimtestaat[[#This Row],[Oppervlak (netto)]]</f>
        <v>0</v>
      </c>
      <c r="AC43" s="115">
        <f>IF(AB43&gt;0,Ruimtestaat[[#This Row],[Prest. (m2 /jaar) weekend]]/Ruimtestaat[[#This Row],[Norm (m2/uur) weekend]],0)</f>
        <v>0</v>
      </c>
      <c r="AD43" s="116">
        <f>Ruimtestaat[[#This Row],[uren / jaar weekend]]*Tariefsopbouw!$D$40</f>
        <v>0</v>
      </c>
      <c r="AE43" s="82">
        <f>Ruimtestaat[[#This Row],[Prest. (m2 /jaar) weekend]]+Ruimtestaat[[#This Row],[Prest. (m2 /jaar) werkdagen]]</f>
        <v>6840</v>
      </c>
      <c r="AF43" s="82">
        <f>Ruimtestaat[[#This Row],[uren / jaar weekend]]+Ruimtestaat[[#This Row],[uren / jaar werkdagen]]</f>
        <v>0</v>
      </c>
      <c r="AG43" s="83">
        <f>Ruimtestaat[[#This Row],[kosten / jaar weekend]]+Ruimtestaat[[#This Row],[kosten / jaar werkdagen]]</f>
        <v>0</v>
      </c>
      <c r="AH43" s="117"/>
      <c r="HL43" s="87"/>
    </row>
    <row r="44" spans="1:220" ht="15" customHeight="1">
      <c r="A44" s="136">
        <v>1</v>
      </c>
      <c r="B44" s="27" t="str">
        <f>VLOOKUP(Ruimtestaat[[#This Row],[Code]],Locaties[#All],2,FALSE)</f>
        <v>Amstelveen College</v>
      </c>
      <c r="C44" s="27" t="str">
        <f>VLOOKUP(Ruimtestaat[[#This Row],[Code]],Locaties[#All],4,FALSE)</f>
        <v>Sportlaan 27</v>
      </c>
      <c r="D44" s="27" t="str">
        <f>VLOOKUP(Ruimtestaat[[#This Row],[Code]],Locaties[#All],5,FALSE)</f>
        <v>1185 TB</v>
      </c>
      <c r="E44" s="27" t="str">
        <f>VLOOKUP(Ruimtestaat[[#This Row],[Code]],Locaties[#All],6,FALSE)</f>
        <v>Amstelveen</v>
      </c>
      <c r="F44" s="74"/>
      <c r="G44" s="27" t="s">
        <v>456</v>
      </c>
      <c r="H44" s="27" t="s">
        <v>395</v>
      </c>
      <c r="I44" s="24" t="s">
        <v>368</v>
      </c>
      <c r="J44" s="27">
        <v>16</v>
      </c>
      <c r="K44" s="74" t="str">
        <f>VLOOKUP(J44,Ruimtegroepen[],2,FALSE)</f>
        <v>Leslokalen theorie</v>
      </c>
      <c r="L44" s="27" t="s">
        <v>114</v>
      </c>
      <c r="M44" s="27" t="s">
        <v>139</v>
      </c>
      <c r="N44" s="107">
        <v>57</v>
      </c>
      <c r="O44" s="107"/>
      <c r="P44" s="118" t="str">
        <f>LEFT(VLOOKUP(Ruimtestaat[[#This Row],[Ruimte code]],Ruimtegroepen[#All],4,1),2)</f>
        <v xml:space="preserve">L </v>
      </c>
      <c r="Q44" s="107"/>
      <c r="R44" s="108">
        <v>40</v>
      </c>
      <c r="S44" s="109" t="s">
        <v>18</v>
      </c>
      <c r="T44" s="110">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4" s="110">
        <f>IF(T44&gt;0,VLOOKUP($J44,Ruimtegroepen[],3,FALSE)*VLOOKUP($L44,Vloersoorten[],3,FALSE)*VLOOKUP($S44,Frequenties[],3,FALSE)*VLOOKUP($A44,Locaties[],3,FALSE),0)</f>
        <v>0</v>
      </c>
      <c r="V44" s="111">
        <f>Ruimtestaat[[#This Row],[Uitvoeringen werkdagen]]*Ruimtestaat[[#This Row],[Oppervlak (netto)]]</f>
        <v>6840</v>
      </c>
      <c r="W44" s="112">
        <f>IF(U44&gt;0,Ruimtestaat[[#This Row],[Prest. (m2 /jaar) werkdagen]]/Ruimtestaat[[#This Row],[Norm (m2/uur) werkdagen]],0)</f>
        <v>0</v>
      </c>
      <c r="X44" s="113">
        <f>Ruimtestaat[[#This Row],[uren / jaar werkdagen]]*Tariefsopbouw!$E$35</f>
        <v>0</v>
      </c>
      <c r="Y44" s="110"/>
      <c r="Z44" s="114">
        <f>IF(Ruimtestaat[[#This Row],[Frequentie weekend]]&gt;0,VALUE(LEFT(Y44,1))*R44,0)</f>
        <v>0</v>
      </c>
      <c r="AA44" s="110">
        <f>IF($Z44&gt;0,VLOOKUP($J44,Ruimtegroepen[],3,FALSE)*VLOOKUP($L44,Vloersoorten[],3,FALSE)*VLOOKUP($Y44,Frequenties[],3,FALSE)*VLOOKUP($A40,Locaties[],3,FALSE),0)</f>
        <v>0</v>
      </c>
      <c r="AB44" s="112">
        <f>Ruimtestaat[[#This Row],[Uitvoeringen weekend]]*Ruimtestaat[[#This Row],[Oppervlak (netto)]]</f>
        <v>0</v>
      </c>
      <c r="AC44" s="115">
        <f>IF(AB44&gt;0,Ruimtestaat[[#This Row],[Prest. (m2 /jaar) weekend]]/Ruimtestaat[[#This Row],[Norm (m2/uur) weekend]],0)</f>
        <v>0</v>
      </c>
      <c r="AD44" s="116">
        <f>Ruimtestaat[[#This Row],[uren / jaar weekend]]*Tariefsopbouw!$D$40</f>
        <v>0</v>
      </c>
      <c r="AE44" s="82">
        <f>Ruimtestaat[[#This Row],[Prest. (m2 /jaar) weekend]]+Ruimtestaat[[#This Row],[Prest. (m2 /jaar) werkdagen]]</f>
        <v>6840</v>
      </c>
      <c r="AF44" s="82">
        <f>Ruimtestaat[[#This Row],[uren / jaar weekend]]+Ruimtestaat[[#This Row],[uren / jaar werkdagen]]</f>
        <v>0</v>
      </c>
      <c r="AG44" s="83">
        <f>Ruimtestaat[[#This Row],[kosten / jaar weekend]]+Ruimtestaat[[#This Row],[kosten / jaar werkdagen]]</f>
        <v>0</v>
      </c>
      <c r="AH44" s="117"/>
      <c r="HL44" s="87"/>
    </row>
    <row r="45" spans="1:220" ht="15" customHeight="1">
      <c r="A45" s="136">
        <v>1</v>
      </c>
      <c r="B45" s="27" t="str">
        <f>VLOOKUP(Ruimtestaat[[#This Row],[Code]],Locaties[#All],2,FALSE)</f>
        <v>Amstelveen College</v>
      </c>
      <c r="C45" s="27" t="str">
        <f>VLOOKUP(Ruimtestaat[[#This Row],[Code]],Locaties[#All],4,FALSE)</f>
        <v>Sportlaan 27</v>
      </c>
      <c r="D45" s="27" t="str">
        <f>VLOOKUP(Ruimtestaat[[#This Row],[Code]],Locaties[#All],5,FALSE)</f>
        <v>1185 TB</v>
      </c>
      <c r="E45" s="27" t="str">
        <f>VLOOKUP(Ruimtestaat[[#This Row],[Code]],Locaties[#All],6,FALSE)</f>
        <v>Amstelveen</v>
      </c>
      <c r="F45" s="74"/>
      <c r="G45" s="27" t="s">
        <v>456</v>
      </c>
      <c r="H45" s="27" t="s">
        <v>396</v>
      </c>
      <c r="I45" s="24" t="s">
        <v>465</v>
      </c>
      <c r="J45" s="27">
        <v>5</v>
      </c>
      <c r="K45" s="74" t="str">
        <f>VLOOKUP(J45,Ruimtegroepen[],2,FALSE)</f>
        <v>Sanitair</v>
      </c>
      <c r="L45" s="27" t="s">
        <v>115</v>
      </c>
      <c r="M45" s="27" t="s">
        <v>271</v>
      </c>
      <c r="N45" s="107">
        <v>14</v>
      </c>
      <c r="O45" s="107"/>
      <c r="P45" s="118" t="str">
        <f>LEFT(VLOOKUP(Ruimtestaat[[#This Row],[Ruimte code]],Ruimtegroepen[#All],4,1),2)</f>
        <v xml:space="preserve">S </v>
      </c>
      <c r="Q45" s="107"/>
      <c r="R45" s="108">
        <v>42</v>
      </c>
      <c r="S45" s="109" t="s">
        <v>19</v>
      </c>
      <c r="T45" s="110">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45" s="110">
        <f>IF(T45&gt;0,VLOOKUP($J45,Ruimtegroepen[],3,FALSE)*VLOOKUP($L45,Vloersoorten[],3,FALSE)*VLOOKUP($S45,Frequenties[],3,FALSE)*VLOOKUP($A45,Locaties[],3,FALSE),0)</f>
        <v>0</v>
      </c>
      <c r="V45" s="111">
        <f>Ruimtestaat[[#This Row],[Uitvoeringen werkdagen]]*Ruimtestaat[[#This Row],[Oppervlak (netto)]]</f>
        <v>5880</v>
      </c>
      <c r="W45" s="112">
        <f>IF(U45&gt;0,Ruimtestaat[[#This Row],[Prest. (m2 /jaar) werkdagen]]/Ruimtestaat[[#This Row],[Norm (m2/uur) werkdagen]],0)</f>
        <v>0</v>
      </c>
      <c r="X45" s="113">
        <f>Ruimtestaat[[#This Row],[uren / jaar werkdagen]]*Tariefsopbouw!$E$35</f>
        <v>0</v>
      </c>
      <c r="Y45" s="110"/>
      <c r="Z45" s="114">
        <f>IF(Ruimtestaat[[#This Row],[Frequentie weekend]]&gt;0,VALUE(LEFT(Y45,1))*R45,0)</f>
        <v>0</v>
      </c>
      <c r="AA45" s="110">
        <f>IF($Z45&gt;0,VLOOKUP($J45,Ruimtegroepen[],3,FALSE)*VLOOKUP($L45,Vloersoorten[],3,FALSE)*VLOOKUP($Y45,Frequenties[],3,FALSE)*VLOOKUP($A41,Locaties[],3,FALSE),0)</f>
        <v>0</v>
      </c>
      <c r="AB45" s="112">
        <f>Ruimtestaat[[#This Row],[Uitvoeringen weekend]]*Ruimtestaat[[#This Row],[Oppervlak (netto)]]</f>
        <v>0</v>
      </c>
      <c r="AC45" s="115">
        <f>IF(AB45&gt;0,Ruimtestaat[[#This Row],[Prest. (m2 /jaar) weekend]]/Ruimtestaat[[#This Row],[Norm (m2/uur) weekend]],0)</f>
        <v>0</v>
      </c>
      <c r="AD45" s="116">
        <f>Ruimtestaat[[#This Row],[uren / jaar weekend]]*Tariefsopbouw!$D$40</f>
        <v>0</v>
      </c>
      <c r="AE45" s="82">
        <f>Ruimtestaat[[#This Row],[Prest. (m2 /jaar) weekend]]+Ruimtestaat[[#This Row],[Prest. (m2 /jaar) werkdagen]]</f>
        <v>5880</v>
      </c>
      <c r="AF45" s="82">
        <f>Ruimtestaat[[#This Row],[uren / jaar weekend]]+Ruimtestaat[[#This Row],[uren / jaar werkdagen]]</f>
        <v>0</v>
      </c>
      <c r="AG45" s="83">
        <f>Ruimtestaat[[#This Row],[kosten / jaar weekend]]+Ruimtestaat[[#This Row],[kosten / jaar werkdagen]]</f>
        <v>0</v>
      </c>
      <c r="AH45" s="117"/>
      <c r="HL45" s="87"/>
    </row>
    <row r="46" spans="1:220" ht="15" customHeight="1">
      <c r="A46" s="136">
        <v>1</v>
      </c>
      <c r="B46" s="27" t="str">
        <f>VLOOKUP(Ruimtestaat[[#This Row],[Code]],Locaties[#All],2,FALSE)</f>
        <v>Amstelveen College</v>
      </c>
      <c r="C46" s="27" t="str">
        <f>VLOOKUP(Ruimtestaat[[#This Row],[Code]],Locaties[#All],4,FALSE)</f>
        <v>Sportlaan 27</v>
      </c>
      <c r="D46" s="27" t="str">
        <f>VLOOKUP(Ruimtestaat[[#This Row],[Code]],Locaties[#All],5,FALSE)</f>
        <v>1185 TB</v>
      </c>
      <c r="E46" s="27" t="str">
        <f>VLOOKUP(Ruimtestaat[[#This Row],[Code]],Locaties[#All],6,FALSE)</f>
        <v>Amstelveen</v>
      </c>
      <c r="F46" s="74"/>
      <c r="G46" s="27" t="s">
        <v>456</v>
      </c>
      <c r="H46" s="27" t="s">
        <v>399</v>
      </c>
      <c r="I46" s="24" t="s">
        <v>368</v>
      </c>
      <c r="J46" s="27">
        <v>16</v>
      </c>
      <c r="K46" s="74" t="str">
        <f>VLOOKUP(J46,Ruimtegroepen[],2,FALSE)</f>
        <v>Leslokalen theorie</v>
      </c>
      <c r="L46" s="27" t="s">
        <v>114</v>
      </c>
      <c r="M46" s="27" t="s">
        <v>139</v>
      </c>
      <c r="N46" s="107">
        <v>72</v>
      </c>
      <c r="O46" s="107"/>
      <c r="P46" s="118" t="str">
        <f>LEFT(VLOOKUP(Ruimtestaat[[#This Row],[Ruimte code]],Ruimtegroepen[#All],4,1),2)</f>
        <v xml:space="preserve">L </v>
      </c>
      <c r="Q46" s="107"/>
      <c r="R46" s="108">
        <v>40</v>
      </c>
      <c r="S46" s="109" t="s">
        <v>18</v>
      </c>
      <c r="T46" s="110">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6" s="110">
        <f>IF(T46&gt;0,VLOOKUP($J46,Ruimtegroepen[],3,FALSE)*VLOOKUP($L46,Vloersoorten[],3,FALSE)*VLOOKUP($S46,Frequenties[],3,FALSE)*VLOOKUP($A46,Locaties[],3,FALSE),0)</f>
        <v>0</v>
      </c>
      <c r="V46" s="111">
        <f>Ruimtestaat[[#This Row],[Uitvoeringen werkdagen]]*Ruimtestaat[[#This Row],[Oppervlak (netto)]]</f>
        <v>8640</v>
      </c>
      <c r="W46" s="112">
        <f>IF(U46&gt;0,Ruimtestaat[[#This Row],[Prest. (m2 /jaar) werkdagen]]/Ruimtestaat[[#This Row],[Norm (m2/uur) werkdagen]],0)</f>
        <v>0</v>
      </c>
      <c r="X46" s="113">
        <f>Ruimtestaat[[#This Row],[uren / jaar werkdagen]]*Tariefsopbouw!$E$35</f>
        <v>0</v>
      </c>
      <c r="Y46" s="110"/>
      <c r="Z46" s="114">
        <f>IF(Ruimtestaat[[#This Row],[Frequentie weekend]]&gt;0,VALUE(LEFT(Y46,1))*R46,0)</f>
        <v>0</v>
      </c>
      <c r="AA46" s="110">
        <f>IF($Z46&gt;0,VLOOKUP($J46,Ruimtegroepen[],3,FALSE)*VLOOKUP($L46,Vloersoorten[],3,FALSE)*VLOOKUP($Y46,Frequenties[],3,FALSE)*VLOOKUP($A42,Locaties[],3,FALSE),0)</f>
        <v>0</v>
      </c>
      <c r="AB46" s="112">
        <f>Ruimtestaat[[#This Row],[Uitvoeringen weekend]]*Ruimtestaat[[#This Row],[Oppervlak (netto)]]</f>
        <v>0</v>
      </c>
      <c r="AC46" s="115">
        <f>IF(AB46&gt;0,Ruimtestaat[[#This Row],[Prest. (m2 /jaar) weekend]]/Ruimtestaat[[#This Row],[Norm (m2/uur) weekend]],0)</f>
        <v>0</v>
      </c>
      <c r="AD46" s="116">
        <f>Ruimtestaat[[#This Row],[uren / jaar weekend]]*Tariefsopbouw!$D$40</f>
        <v>0</v>
      </c>
      <c r="AE46" s="82">
        <f>Ruimtestaat[[#This Row],[Prest. (m2 /jaar) weekend]]+Ruimtestaat[[#This Row],[Prest. (m2 /jaar) werkdagen]]</f>
        <v>8640</v>
      </c>
      <c r="AF46" s="82">
        <f>Ruimtestaat[[#This Row],[uren / jaar weekend]]+Ruimtestaat[[#This Row],[uren / jaar werkdagen]]</f>
        <v>0</v>
      </c>
      <c r="AG46" s="83">
        <f>Ruimtestaat[[#This Row],[kosten / jaar weekend]]+Ruimtestaat[[#This Row],[kosten / jaar werkdagen]]</f>
        <v>0</v>
      </c>
      <c r="AH46" s="117"/>
      <c r="HL46" s="87"/>
    </row>
    <row r="47" spans="1:220" ht="15" customHeight="1">
      <c r="A47" s="136">
        <v>1</v>
      </c>
      <c r="B47" s="27" t="str">
        <f>VLOOKUP(Ruimtestaat[[#This Row],[Code]],Locaties[#All],2,FALSE)</f>
        <v>Amstelveen College</v>
      </c>
      <c r="C47" s="27" t="str">
        <f>VLOOKUP(Ruimtestaat[[#This Row],[Code]],Locaties[#All],4,FALSE)</f>
        <v>Sportlaan 27</v>
      </c>
      <c r="D47" s="27" t="str">
        <f>VLOOKUP(Ruimtestaat[[#This Row],[Code]],Locaties[#All],5,FALSE)</f>
        <v>1185 TB</v>
      </c>
      <c r="E47" s="27" t="str">
        <f>VLOOKUP(Ruimtestaat[[#This Row],[Code]],Locaties[#All],6,FALSE)</f>
        <v>Amstelveen</v>
      </c>
      <c r="F47" s="74"/>
      <c r="G47" s="27" t="s">
        <v>456</v>
      </c>
      <c r="H47" s="27" t="s">
        <v>409</v>
      </c>
      <c r="I47" s="24" t="s">
        <v>411</v>
      </c>
      <c r="J47" s="27">
        <v>6</v>
      </c>
      <c r="K47" s="74" t="str">
        <f>VLOOKUP(J47,Ruimtegroepen[],2,FALSE)</f>
        <v>Gangen/hallen</v>
      </c>
      <c r="L47" s="27" t="s">
        <v>114</v>
      </c>
      <c r="M47" s="27" t="s">
        <v>139</v>
      </c>
      <c r="N47" s="107">
        <v>17</v>
      </c>
      <c r="O47" s="107"/>
      <c r="P47" s="118" t="str">
        <f>LEFT(VLOOKUP(Ruimtestaat[[#This Row],[Ruimte code]],Ruimtegroepen[#All],4,1),2)</f>
        <v xml:space="preserve">V </v>
      </c>
      <c r="Q47" s="107"/>
      <c r="R47" s="108">
        <v>42</v>
      </c>
      <c r="S47" s="109" t="s">
        <v>2</v>
      </c>
      <c r="T47" s="110">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47" s="110">
        <f>IF(T47&gt;0,VLOOKUP($J47,Ruimtegroepen[],3,FALSE)*VLOOKUP($L47,Vloersoorten[],3,FALSE)*VLOOKUP($S47,Frequenties[],3,FALSE)*VLOOKUP($A47,Locaties[],3,FALSE),0)</f>
        <v>0</v>
      </c>
      <c r="V47" s="111">
        <f>Ruimtestaat[[#This Row],[Uitvoeringen werkdagen]]*Ruimtestaat[[#This Row],[Oppervlak (netto)]]</f>
        <v>3570</v>
      </c>
      <c r="W47" s="112">
        <f>IF(U47&gt;0,Ruimtestaat[[#This Row],[Prest. (m2 /jaar) werkdagen]]/Ruimtestaat[[#This Row],[Norm (m2/uur) werkdagen]],0)</f>
        <v>0</v>
      </c>
      <c r="X47" s="113">
        <f>Ruimtestaat[[#This Row],[uren / jaar werkdagen]]*Tariefsopbouw!$E$35</f>
        <v>0</v>
      </c>
      <c r="Y47" s="110"/>
      <c r="Z47" s="114">
        <f>IF(Ruimtestaat[[#This Row],[Frequentie weekend]]&gt;0,VALUE(LEFT(Y47,1))*R47,0)</f>
        <v>0</v>
      </c>
      <c r="AA47" s="110">
        <f>IF($Z47&gt;0,VLOOKUP($J47,Ruimtegroepen[],3,FALSE)*VLOOKUP($L47,Vloersoorten[],3,FALSE)*VLOOKUP($Y47,Frequenties[],3,FALSE)*VLOOKUP($A43,Locaties[],3,FALSE),0)</f>
        <v>0</v>
      </c>
      <c r="AB47" s="112">
        <f>Ruimtestaat[[#This Row],[Uitvoeringen weekend]]*Ruimtestaat[[#This Row],[Oppervlak (netto)]]</f>
        <v>0</v>
      </c>
      <c r="AC47" s="115">
        <f>IF(AB47&gt;0,Ruimtestaat[[#This Row],[Prest. (m2 /jaar) weekend]]/Ruimtestaat[[#This Row],[Norm (m2/uur) weekend]],0)</f>
        <v>0</v>
      </c>
      <c r="AD47" s="116">
        <f>Ruimtestaat[[#This Row],[uren / jaar weekend]]*Tariefsopbouw!$D$40</f>
        <v>0</v>
      </c>
      <c r="AE47" s="82">
        <f>Ruimtestaat[[#This Row],[Prest. (m2 /jaar) weekend]]+Ruimtestaat[[#This Row],[Prest. (m2 /jaar) werkdagen]]</f>
        <v>3570</v>
      </c>
      <c r="AF47" s="82">
        <f>Ruimtestaat[[#This Row],[uren / jaar weekend]]+Ruimtestaat[[#This Row],[uren / jaar werkdagen]]</f>
        <v>0</v>
      </c>
      <c r="AG47" s="83">
        <f>Ruimtestaat[[#This Row],[kosten / jaar weekend]]+Ruimtestaat[[#This Row],[kosten / jaar werkdagen]]</f>
        <v>0</v>
      </c>
      <c r="AH47" s="117"/>
      <c r="HL47" s="87"/>
    </row>
    <row r="48" spans="1:220" ht="15" customHeight="1">
      <c r="A48" s="136">
        <v>1</v>
      </c>
      <c r="B48" s="27" t="str">
        <f>VLOOKUP(Ruimtestaat[[#This Row],[Code]],Locaties[#All],2,FALSE)</f>
        <v>Amstelveen College</v>
      </c>
      <c r="C48" s="27" t="str">
        <f>VLOOKUP(Ruimtestaat[[#This Row],[Code]],Locaties[#All],4,FALSE)</f>
        <v>Sportlaan 27</v>
      </c>
      <c r="D48" s="27" t="str">
        <f>VLOOKUP(Ruimtestaat[[#This Row],[Code]],Locaties[#All],5,FALSE)</f>
        <v>1185 TB</v>
      </c>
      <c r="E48" s="27" t="str">
        <f>VLOOKUP(Ruimtestaat[[#This Row],[Code]],Locaties[#All],6,FALSE)</f>
        <v>Amstelveen</v>
      </c>
      <c r="F48" s="74"/>
      <c r="G48" s="27" t="s">
        <v>456</v>
      </c>
      <c r="H48" s="27" t="s">
        <v>408</v>
      </c>
      <c r="I48" s="24" t="s">
        <v>369</v>
      </c>
      <c r="J48" s="27">
        <v>6</v>
      </c>
      <c r="K48" s="74" t="str">
        <f>VLOOKUP(J48,Ruimtegroepen[],2,FALSE)</f>
        <v>Gangen/hallen</v>
      </c>
      <c r="L48" s="27" t="s">
        <v>114</v>
      </c>
      <c r="M48" s="27" t="s">
        <v>139</v>
      </c>
      <c r="N48" s="107">
        <v>11</v>
      </c>
      <c r="O48" s="107"/>
      <c r="P48" s="118" t="str">
        <f>LEFT(VLOOKUP(Ruimtestaat[[#This Row],[Ruimte code]],Ruimtegroepen[#All],4,1),2)</f>
        <v xml:space="preserve">V </v>
      </c>
      <c r="Q48" s="107"/>
      <c r="R48" s="108">
        <v>42</v>
      </c>
      <c r="S48" s="109" t="s">
        <v>2</v>
      </c>
      <c r="T48" s="110">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48" s="110">
        <f>IF(T48&gt;0,VLOOKUP($J48,Ruimtegroepen[],3,FALSE)*VLOOKUP($L48,Vloersoorten[],3,FALSE)*VLOOKUP($S48,Frequenties[],3,FALSE)*VLOOKUP($A48,Locaties[],3,FALSE),0)</f>
        <v>0</v>
      </c>
      <c r="V48" s="111">
        <f>Ruimtestaat[[#This Row],[Uitvoeringen werkdagen]]*Ruimtestaat[[#This Row],[Oppervlak (netto)]]</f>
        <v>2310</v>
      </c>
      <c r="W48" s="112">
        <f>IF(U48&gt;0,Ruimtestaat[[#This Row],[Prest. (m2 /jaar) werkdagen]]/Ruimtestaat[[#This Row],[Norm (m2/uur) werkdagen]],0)</f>
        <v>0</v>
      </c>
      <c r="X48" s="113">
        <f>Ruimtestaat[[#This Row],[uren / jaar werkdagen]]*Tariefsopbouw!$E$35</f>
        <v>0</v>
      </c>
      <c r="Y48" s="110"/>
      <c r="Z48" s="114">
        <f>IF(Ruimtestaat[[#This Row],[Frequentie weekend]]&gt;0,VALUE(LEFT(Y48,1))*R48,0)</f>
        <v>0</v>
      </c>
      <c r="AA48" s="110">
        <f>IF($Z48&gt;0,VLOOKUP($J48,Ruimtegroepen[],3,FALSE)*VLOOKUP($L48,Vloersoorten[],3,FALSE)*VLOOKUP($Y48,Frequenties[],3,FALSE)*VLOOKUP($A43,Locaties[],3,FALSE),0)</f>
        <v>0</v>
      </c>
      <c r="AB48" s="112">
        <f>Ruimtestaat[[#This Row],[Uitvoeringen weekend]]*Ruimtestaat[[#This Row],[Oppervlak (netto)]]</f>
        <v>0</v>
      </c>
      <c r="AC48" s="115">
        <f>IF(AB48&gt;0,Ruimtestaat[[#This Row],[Prest. (m2 /jaar) weekend]]/Ruimtestaat[[#This Row],[Norm (m2/uur) weekend]],0)</f>
        <v>0</v>
      </c>
      <c r="AD48" s="116">
        <f>Ruimtestaat[[#This Row],[uren / jaar weekend]]*Tariefsopbouw!$D$40</f>
        <v>0</v>
      </c>
      <c r="AE48" s="82">
        <f>Ruimtestaat[[#This Row],[Prest. (m2 /jaar) weekend]]+Ruimtestaat[[#This Row],[Prest. (m2 /jaar) werkdagen]]</f>
        <v>2310</v>
      </c>
      <c r="AF48" s="82">
        <f>Ruimtestaat[[#This Row],[uren / jaar weekend]]+Ruimtestaat[[#This Row],[uren / jaar werkdagen]]</f>
        <v>0</v>
      </c>
      <c r="AG48" s="83">
        <f>Ruimtestaat[[#This Row],[kosten / jaar weekend]]+Ruimtestaat[[#This Row],[kosten / jaar werkdagen]]</f>
        <v>0</v>
      </c>
      <c r="AH48" s="117"/>
      <c r="HL48" s="87"/>
    </row>
    <row r="49" spans="1:220" ht="15" customHeight="1">
      <c r="A49" s="136">
        <v>1</v>
      </c>
      <c r="B49" s="27" t="str">
        <f>VLOOKUP(Ruimtestaat[[#This Row],[Code]],Locaties[#All],2,FALSE)</f>
        <v>Amstelveen College</v>
      </c>
      <c r="C49" s="27" t="str">
        <f>VLOOKUP(Ruimtestaat[[#This Row],[Code]],Locaties[#All],4,FALSE)</f>
        <v>Sportlaan 27</v>
      </c>
      <c r="D49" s="27" t="str">
        <f>VLOOKUP(Ruimtestaat[[#This Row],[Code]],Locaties[#All],5,FALSE)</f>
        <v>1185 TB</v>
      </c>
      <c r="E49" s="27" t="str">
        <f>VLOOKUP(Ruimtestaat[[#This Row],[Code]],Locaties[#All],6,FALSE)</f>
        <v>Amstelveen</v>
      </c>
      <c r="F49" s="74"/>
      <c r="G49" s="27" t="s">
        <v>456</v>
      </c>
      <c r="H49" s="27" t="s">
        <v>400</v>
      </c>
      <c r="I49" s="24" t="s">
        <v>479</v>
      </c>
      <c r="J49" s="27">
        <v>16</v>
      </c>
      <c r="K49" s="74" t="str">
        <f>VLOOKUP(J49,Ruimtegroepen[],2,FALSE)</f>
        <v>Leslokalen theorie</v>
      </c>
      <c r="L49" s="27" t="s">
        <v>114</v>
      </c>
      <c r="M49" s="27" t="s">
        <v>139</v>
      </c>
      <c r="N49" s="107">
        <v>72</v>
      </c>
      <c r="O49" s="107"/>
      <c r="P49" s="118" t="str">
        <f>LEFT(VLOOKUP(Ruimtestaat[[#This Row],[Ruimte code]],Ruimtegroepen[#All],4,1),2)</f>
        <v xml:space="preserve">L </v>
      </c>
      <c r="Q49" s="107"/>
      <c r="R49" s="108">
        <v>40</v>
      </c>
      <c r="S49" s="109" t="s">
        <v>18</v>
      </c>
      <c r="T49" s="110">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9" s="110">
        <f>IF(T49&gt;0,VLOOKUP($J49,Ruimtegroepen[],3,FALSE)*VLOOKUP($L49,Vloersoorten[],3,FALSE)*VLOOKUP($S49,Frequenties[],3,FALSE)*VLOOKUP($A49,Locaties[],3,FALSE),0)</f>
        <v>0</v>
      </c>
      <c r="V49" s="111">
        <f>Ruimtestaat[[#This Row],[Uitvoeringen werkdagen]]*Ruimtestaat[[#This Row],[Oppervlak (netto)]]</f>
        <v>8640</v>
      </c>
      <c r="W49" s="112">
        <f>IF(U49&gt;0,Ruimtestaat[[#This Row],[Prest. (m2 /jaar) werkdagen]]/Ruimtestaat[[#This Row],[Norm (m2/uur) werkdagen]],0)</f>
        <v>0</v>
      </c>
      <c r="X49" s="113">
        <f>Ruimtestaat[[#This Row],[uren / jaar werkdagen]]*Tariefsopbouw!$E$35</f>
        <v>0</v>
      </c>
      <c r="Y49" s="110"/>
      <c r="Z49" s="114">
        <f>IF(Ruimtestaat[[#This Row],[Frequentie weekend]]&gt;0,VALUE(LEFT(Y49,1))*R49,0)</f>
        <v>0</v>
      </c>
      <c r="AA49" s="110">
        <f>IF($Z49&gt;0,VLOOKUP($J49,Ruimtegroepen[],3,FALSE)*VLOOKUP($L49,Vloersoorten[],3,FALSE)*VLOOKUP($Y49,Frequenties[],3,FALSE)*VLOOKUP($A44,Locaties[],3,FALSE),0)</f>
        <v>0</v>
      </c>
      <c r="AB49" s="112">
        <f>Ruimtestaat[[#This Row],[Uitvoeringen weekend]]*Ruimtestaat[[#This Row],[Oppervlak (netto)]]</f>
        <v>0</v>
      </c>
      <c r="AC49" s="115">
        <f>IF(AB49&gt;0,Ruimtestaat[[#This Row],[Prest. (m2 /jaar) weekend]]/Ruimtestaat[[#This Row],[Norm (m2/uur) weekend]],0)</f>
        <v>0</v>
      </c>
      <c r="AD49" s="116">
        <f>Ruimtestaat[[#This Row],[uren / jaar weekend]]*Tariefsopbouw!$D$40</f>
        <v>0</v>
      </c>
      <c r="AE49" s="82">
        <f>Ruimtestaat[[#This Row],[Prest. (m2 /jaar) weekend]]+Ruimtestaat[[#This Row],[Prest. (m2 /jaar) werkdagen]]</f>
        <v>8640</v>
      </c>
      <c r="AF49" s="82">
        <f>Ruimtestaat[[#This Row],[uren / jaar weekend]]+Ruimtestaat[[#This Row],[uren / jaar werkdagen]]</f>
        <v>0</v>
      </c>
      <c r="AG49" s="83">
        <f>Ruimtestaat[[#This Row],[kosten / jaar weekend]]+Ruimtestaat[[#This Row],[kosten / jaar werkdagen]]</f>
        <v>0</v>
      </c>
      <c r="AH49" s="117"/>
      <c r="HL49" s="87"/>
    </row>
    <row r="50" spans="1:220" ht="15" customHeight="1">
      <c r="A50" s="136">
        <v>1</v>
      </c>
      <c r="B50" s="27" t="str">
        <f>VLOOKUP(Ruimtestaat[[#This Row],[Code]],Locaties[#All],2,FALSE)</f>
        <v>Amstelveen College</v>
      </c>
      <c r="C50" s="27" t="str">
        <f>VLOOKUP(Ruimtestaat[[#This Row],[Code]],Locaties[#All],4,FALSE)</f>
        <v>Sportlaan 27</v>
      </c>
      <c r="D50" s="27" t="str">
        <f>VLOOKUP(Ruimtestaat[[#This Row],[Code]],Locaties[#All],5,FALSE)</f>
        <v>1185 TB</v>
      </c>
      <c r="E50" s="27" t="str">
        <f>VLOOKUP(Ruimtestaat[[#This Row],[Code]],Locaties[#All],6,FALSE)</f>
        <v>Amstelveen</v>
      </c>
      <c r="F50" s="74"/>
      <c r="G50" s="27" t="s">
        <v>456</v>
      </c>
      <c r="H50" s="27" t="s">
        <v>407</v>
      </c>
      <c r="I50" s="24" t="s">
        <v>411</v>
      </c>
      <c r="J50" s="27">
        <v>6</v>
      </c>
      <c r="K50" s="74" t="str">
        <f>VLOOKUP(J50,Ruimtegroepen[],2,FALSE)</f>
        <v>Gangen/hallen</v>
      </c>
      <c r="L50" s="27" t="s">
        <v>114</v>
      </c>
      <c r="M50" s="27" t="s">
        <v>139</v>
      </c>
      <c r="N50" s="107">
        <v>15</v>
      </c>
      <c r="O50" s="107"/>
      <c r="P50" s="118" t="str">
        <f>LEFT(VLOOKUP(Ruimtestaat[[#This Row],[Ruimte code]],Ruimtegroepen[#All],4,1),2)</f>
        <v xml:space="preserve">V </v>
      </c>
      <c r="Q50" s="107"/>
      <c r="R50" s="108">
        <v>42</v>
      </c>
      <c r="S50" s="109" t="s">
        <v>2</v>
      </c>
      <c r="T50" s="110">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50" s="110">
        <f>IF(T50&gt;0,VLOOKUP($J50,Ruimtegroepen[],3,FALSE)*VLOOKUP($L50,Vloersoorten[],3,FALSE)*VLOOKUP($S50,Frequenties[],3,FALSE)*VLOOKUP($A50,Locaties[],3,FALSE),0)</f>
        <v>0</v>
      </c>
      <c r="V50" s="111">
        <f>Ruimtestaat[[#This Row],[Uitvoeringen werkdagen]]*Ruimtestaat[[#This Row],[Oppervlak (netto)]]</f>
        <v>3150</v>
      </c>
      <c r="W50" s="112">
        <f>IF(U50&gt;0,Ruimtestaat[[#This Row],[Prest. (m2 /jaar) werkdagen]]/Ruimtestaat[[#This Row],[Norm (m2/uur) werkdagen]],0)</f>
        <v>0</v>
      </c>
      <c r="X50" s="113">
        <f>Ruimtestaat[[#This Row],[uren / jaar werkdagen]]*Tariefsopbouw!$E$35</f>
        <v>0</v>
      </c>
      <c r="Y50" s="110"/>
      <c r="Z50" s="114">
        <f>IF(Ruimtestaat[[#This Row],[Frequentie weekend]]&gt;0,VALUE(LEFT(Y50,1))*R50,0)</f>
        <v>0</v>
      </c>
      <c r="AA50" s="110">
        <f>IF($Z50&gt;0,VLOOKUP($J50,Ruimtegroepen[],3,FALSE)*VLOOKUP($L50,Vloersoorten[],3,FALSE)*VLOOKUP($Y50,Frequenties[],3,FALSE)*VLOOKUP($A45,Locaties[],3,FALSE),0)</f>
        <v>0</v>
      </c>
      <c r="AB50" s="112">
        <f>Ruimtestaat[[#This Row],[Uitvoeringen weekend]]*Ruimtestaat[[#This Row],[Oppervlak (netto)]]</f>
        <v>0</v>
      </c>
      <c r="AC50" s="115">
        <f>IF(AB50&gt;0,Ruimtestaat[[#This Row],[Prest. (m2 /jaar) weekend]]/Ruimtestaat[[#This Row],[Norm (m2/uur) weekend]],0)</f>
        <v>0</v>
      </c>
      <c r="AD50" s="116">
        <f>Ruimtestaat[[#This Row],[uren / jaar weekend]]*Tariefsopbouw!$D$40</f>
        <v>0</v>
      </c>
      <c r="AE50" s="82">
        <f>Ruimtestaat[[#This Row],[Prest. (m2 /jaar) weekend]]+Ruimtestaat[[#This Row],[Prest. (m2 /jaar) werkdagen]]</f>
        <v>3150</v>
      </c>
      <c r="AF50" s="82">
        <f>Ruimtestaat[[#This Row],[uren / jaar weekend]]+Ruimtestaat[[#This Row],[uren / jaar werkdagen]]</f>
        <v>0</v>
      </c>
      <c r="AG50" s="83">
        <f>Ruimtestaat[[#This Row],[kosten / jaar weekend]]+Ruimtestaat[[#This Row],[kosten / jaar werkdagen]]</f>
        <v>0</v>
      </c>
      <c r="AH50" s="117"/>
      <c r="HL50" s="87"/>
    </row>
    <row r="51" spans="1:220" ht="15" customHeight="1">
      <c r="A51" s="136">
        <v>1</v>
      </c>
      <c r="B51" s="27" t="str">
        <f>VLOOKUP(Ruimtestaat[[#This Row],[Code]],Locaties[#All],2,FALSE)</f>
        <v>Amstelveen College</v>
      </c>
      <c r="C51" s="27" t="str">
        <f>VLOOKUP(Ruimtestaat[[#This Row],[Code]],Locaties[#All],4,FALSE)</f>
        <v>Sportlaan 27</v>
      </c>
      <c r="D51" s="27" t="str">
        <f>VLOOKUP(Ruimtestaat[[#This Row],[Code]],Locaties[#All],5,FALSE)</f>
        <v>1185 TB</v>
      </c>
      <c r="E51" s="27" t="str">
        <f>VLOOKUP(Ruimtestaat[[#This Row],[Code]],Locaties[#All],6,FALSE)</f>
        <v>Amstelveen</v>
      </c>
      <c r="F51" s="74"/>
      <c r="G51" s="27" t="s">
        <v>456</v>
      </c>
      <c r="H51" s="27" t="s">
        <v>401</v>
      </c>
      <c r="I51" s="24" t="s">
        <v>397</v>
      </c>
      <c r="J51" s="27">
        <v>14</v>
      </c>
      <c r="K51" s="74" t="str">
        <f>VLOOKUP(J51,Ruimtegroepen[],2,FALSE)</f>
        <v>Praktijklokalen binas/zorg</v>
      </c>
      <c r="L51" s="27" t="s">
        <v>115</v>
      </c>
      <c r="M51" s="27" t="s">
        <v>271</v>
      </c>
      <c r="N51" s="107">
        <v>87</v>
      </c>
      <c r="O51" s="107"/>
      <c r="P51" s="118" t="str">
        <f>LEFT(VLOOKUP(Ruimtestaat[[#This Row],[Ruimte code]],Ruimtegroepen[#All],4,1),2)</f>
        <v xml:space="preserve">L </v>
      </c>
      <c r="Q51" s="107"/>
      <c r="R51" s="108">
        <v>40</v>
      </c>
      <c r="S51" s="109" t="s">
        <v>18</v>
      </c>
      <c r="T51" s="110">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1" s="110">
        <f>IF(T51&gt;0,VLOOKUP($J51,Ruimtegroepen[],3,FALSE)*VLOOKUP($L51,Vloersoorten[],3,FALSE)*VLOOKUP($S51,Frequenties[],3,FALSE)*VLOOKUP($A51,Locaties[],3,FALSE),0)</f>
        <v>0</v>
      </c>
      <c r="V51" s="111">
        <f>Ruimtestaat[[#This Row],[Uitvoeringen werkdagen]]*Ruimtestaat[[#This Row],[Oppervlak (netto)]]</f>
        <v>10440</v>
      </c>
      <c r="W51" s="112">
        <f>IF(U51&gt;0,Ruimtestaat[[#This Row],[Prest. (m2 /jaar) werkdagen]]/Ruimtestaat[[#This Row],[Norm (m2/uur) werkdagen]],0)</f>
        <v>0</v>
      </c>
      <c r="X51" s="113">
        <f>Ruimtestaat[[#This Row],[uren / jaar werkdagen]]*Tariefsopbouw!$E$35</f>
        <v>0</v>
      </c>
      <c r="Y51" s="110"/>
      <c r="Z51" s="114">
        <f>IF(Ruimtestaat[[#This Row],[Frequentie weekend]]&gt;0,VALUE(LEFT(Y51,1))*R51,0)</f>
        <v>0</v>
      </c>
      <c r="AA51" s="110">
        <f>IF($Z51&gt;0,VLOOKUP($J51,Ruimtegroepen[],3,FALSE)*VLOOKUP($L51,Vloersoorten[],3,FALSE)*VLOOKUP($Y51,Frequenties[],3,FALSE)*VLOOKUP($A46,Locaties[],3,FALSE),0)</f>
        <v>0</v>
      </c>
      <c r="AB51" s="112">
        <f>Ruimtestaat[[#This Row],[Uitvoeringen weekend]]*Ruimtestaat[[#This Row],[Oppervlak (netto)]]</f>
        <v>0</v>
      </c>
      <c r="AC51" s="115">
        <f>IF(AB51&gt;0,Ruimtestaat[[#This Row],[Prest. (m2 /jaar) weekend]]/Ruimtestaat[[#This Row],[Norm (m2/uur) weekend]],0)</f>
        <v>0</v>
      </c>
      <c r="AD51" s="116">
        <f>Ruimtestaat[[#This Row],[uren / jaar weekend]]*Tariefsopbouw!$D$40</f>
        <v>0</v>
      </c>
      <c r="AE51" s="82">
        <f>Ruimtestaat[[#This Row],[Prest. (m2 /jaar) weekend]]+Ruimtestaat[[#This Row],[Prest. (m2 /jaar) werkdagen]]</f>
        <v>10440</v>
      </c>
      <c r="AF51" s="82">
        <f>Ruimtestaat[[#This Row],[uren / jaar weekend]]+Ruimtestaat[[#This Row],[uren / jaar werkdagen]]</f>
        <v>0</v>
      </c>
      <c r="AG51" s="83">
        <f>Ruimtestaat[[#This Row],[kosten / jaar weekend]]+Ruimtestaat[[#This Row],[kosten / jaar werkdagen]]</f>
        <v>0</v>
      </c>
      <c r="AH51" s="117"/>
      <c r="HL51" s="87"/>
    </row>
    <row r="52" spans="1:220" ht="15" customHeight="1">
      <c r="A52" s="136">
        <v>1</v>
      </c>
      <c r="B52" s="27" t="str">
        <f>VLOOKUP(Ruimtestaat[[#This Row],[Code]],Locaties[#All],2,FALSE)</f>
        <v>Amstelveen College</v>
      </c>
      <c r="C52" s="27" t="str">
        <f>VLOOKUP(Ruimtestaat[[#This Row],[Code]],Locaties[#All],4,FALSE)</f>
        <v>Sportlaan 27</v>
      </c>
      <c r="D52" s="27" t="str">
        <f>VLOOKUP(Ruimtestaat[[#This Row],[Code]],Locaties[#All],5,FALSE)</f>
        <v>1185 TB</v>
      </c>
      <c r="E52" s="27" t="str">
        <f>VLOOKUP(Ruimtestaat[[#This Row],[Code]],Locaties[#All],6,FALSE)</f>
        <v>Amstelveen</v>
      </c>
      <c r="F52" s="74"/>
      <c r="G52" s="27" t="s">
        <v>456</v>
      </c>
      <c r="H52" s="27" t="s">
        <v>406</v>
      </c>
      <c r="I52" s="24" t="s">
        <v>411</v>
      </c>
      <c r="J52" s="27">
        <v>6</v>
      </c>
      <c r="K52" s="74" t="str">
        <f>VLOOKUP(J52,Ruimtegroepen[],2,FALSE)</f>
        <v>Gangen/hallen</v>
      </c>
      <c r="L52" s="27" t="s">
        <v>114</v>
      </c>
      <c r="M52" s="27" t="s">
        <v>139</v>
      </c>
      <c r="N52" s="107">
        <v>12</v>
      </c>
      <c r="O52" s="107"/>
      <c r="P52" s="118" t="str">
        <f>LEFT(VLOOKUP(Ruimtestaat[[#This Row],[Ruimte code]],Ruimtegroepen[#All],4,1),2)</f>
        <v xml:space="preserve">V </v>
      </c>
      <c r="Q52" s="107"/>
      <c r="R52" s="108">
        <v>42</v>
      </c>
      <c r="S52" s="109" t="s">
        <v>2</v>
      </c>
      <c r="T52" s="110">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52" s="110">
        <f>IF(T52&gt;0,VLOOKUP($J52,Ruimtegroepen[],3,FALSE)*VLOOKUP($L52,Vloersoorten[],3,FALSE)*VLOOKUP($S52,Frequenties[],3,FALSE)*VLOOKUP($A52,Locaties[],3,FALSE),0)</f>
        <v>0</v>
      </c>
      <c r="V52" s="111">
        <f>Ruimtestaat[[#This Row],[Uitvoeringen werkdagen]]*Ruimtestaat[[#This Row],[Oppervlak (netto)]]</f>
        <v>2520</v>
      </c>
      <c r="W52" s="112">
        <f>IF(U52&gt;0,Ruimtestaat[[#This Row],[Prest. (m2 /jaar) werkdagen]]/Ruimtestaat[[#This Row],[Norm (m2/uur) werkdagen]],0)</f>
        <v>0</v>
      </c>
      <c r="X52" s="113">
        <f>Ruimtestaat[[#This Row],[uren / jaar werkdagen]]*Tariefsopbouw!$E$35</f>
        <v>0</v>
      </c>
      <c r="Y52" s="110"/>
      <c r="Z52" s="114">
        <f>IF(Ruimtestaat[[#This Row],[Frequentie weekend]]&gt;0,VALUE(LEFT(Y52,1))*R52,0)</f>
        <v>0</v>
      </c>
      <c r="AA52" s="110">
        <f>IF($Z52&gt;0,VLOOKUP($J52,Ruimtegroepen[],3,FALSE)*VLOOKUP($L52,Vloersoorten[],3,FALSE)*VLOOKUP($Y52,Frequenties[],3,FALSE)*VLOOKUP($A48,Locaties[],3,FALSE),0)</f>
        <v>0</v>
      </c>
      <c r="AB52" s="112">
        <f>Ruimtestaat[[#This Row],[Uitvoeringen weekend]]*Ruimtestaat[[#This Row],[Oppervlak (netto)]]</f>
        <v>0</v>
      </c>
      <c r="AC52" s="115">
        <f>IF(AB52&gt;0,Ruimtestaat[[#This Row],[Prest. (m2 /jaar) weekend]]/Ruimtestaat[[#This Row],[Norm (m2/uur) weekend]],0)</f>
        <v>0</v>
      </c>
      <c r="AD52" s="116">
        <f>Ruimtestaat[[#This Row],[uren / jaar weekend]]*Tariefsopbouw!$D$40</f>
        <v>0</v>
      </c>
      <c r="AE52" s="82">
        <f>Ruimtestaat[[#This Row],[Prest. (m2 /jaar) weekend]]+Ruimtestaat[[#This Row],[Prest. (m2 /jaar) werkdagen]]</f>
        <v>2520</v>
      </c>
      <c r="AF52" s="82">
        <f>Ruimtestaat[[#This Row],[uren / jaar weekend]]+Ruimtestaat[[#This Row],[uren / jaar werkdagen]]</f>
        <v>0</v>
      </c>
      <c r="AG52" s="83">
        <f>Ruimtestaat[[#This Row],[kosten / jaar weekend]]+Ruimtestaat[[#This Row],[kosten / jaar werkdagen]]</f>
        <v>0</v>
      </c>
      <c r="AH52" s="117"/>
      <c r="HL52" s="87"/>
    </row>
    <row r="53" spans="1:220" ht="15" customHeight="1">
      <c r="A53" s="136">
        <v>1</v>
      </c>
      <c r="B53" s="27" t="str">
        <f>VLOOKUP(Ruimtestaat[[#This Row],[Code]],Locaties[#All],2,FALSE)</f>
        <v>Amstelveen College</v>
      </c>
      <c r="C53" s="27" t="str">
        <f>VLOOKUP(Ruimtestaat[[#This Row],[Code]],Locaties[#All],4,FALSE)</f>
        <v>Sportlaan 27</v>
      </c>
      <c r="D53" s="27" t="str">
        <f>VLOOKUP(Ruimtestaat[[#This Row],[Code]],Locaties[#All],5,FALSE)</f>
        <v>1185 TB</v>
      </c>
      <c r="E53" s="27" t="str">
        <f>VLOOKUP(Ruimtestaat[[#This Row],[Code]],Locaties[#All],6,FALSE)</f>
        <v>Amstelveen</v>
      </c>
      <c r="F53" s="74"/>
      <c r="G53" s="27" t="s">
        <v>456</v>
      </c>
      <c r="H53" s="27" t="s">
        <v>402</v>
      </c>
      <c r="I53" s="24" t="s">
        <v>397</v>
      </c>
      <c r="J53" s="27">
        <v>14</v>
      </c>
      <c r="K53" s="74" t="str">
        <f>VLOOKUP(J53,Ruimtegroepen[],2,FALSE)</f>
        <v>Praktijklokalen binas/zorg</v>
      </c>
      <c r="L53" s="27" t="s">
        <v>115</v>
      </c>
      <c r="M53" s="27" t="s">
        <v>271</v>
      </c>
      <c r="N53" s="107">
        <v>100</v>
      </c>
      <c r="O53" s="107"/>
      <c r="P53" s="118" t="str">
        <f>LEFT(VLOOKUP(Ruimtestaat[[#This Row],[Ruimte code]],Ruimtegroepen[#All],4,1),2)</f>
        <v xml:space="preserve">L </v>
      </c>
      <c r="Q53" s="107"/>
      <c r="R53" s="108">
        <v>40</v>
      </c>
      <c r="S53" s="109" t="s">
        <v>18</v>
      </c>
      <c r="T53" s="110">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3" s="110">
        <f>IF(T53&gt;0,VLOOKUP($J53,Ruimtegroepen[],3,FALSE)*VLOOKUP($L53,Vloersoorten[],3,FALSE)*VLOOKUP($S53,Frequenties[],3,FALSE)*VLOOKUP($A53,Locaties[],3,FALSE),0)</f>
        <v>0</v>
      </c>
      <c r="V53" s="111">
        <f>Ruimtestaat[[#This Row],[Uitvoeringen werkdagen]]*Ruimtestaat[[#This Row],[Oppervlak (netto)]]</f>
        <v>12000</v>
      </c>
      <c r="W53" s="112">
        <f>IF(U53&gt;0,Ruimtestaat[[#This Row],[Prest. (m2 /jaar) werkdagen]]/Ruimtestaat[[#This Row],[Norm (m2/uur) werkdagen]],0)</f>
        <v>0</v>
      </c>
      <c r="X53" s="113">
        <f>Ruimtestaat[[#This Row],[uren / jaar werkdagen]]*Tariefsopbouw!$E$35</f>
        <v>0</v>
      </c>
      <c r="Y53" s="110"/>
      <c r="Z53" s="114">
        <f>IF(Ruimtestaat[[#This Row],[Frequentie weekend]]&gt;0,VALUE(LEFT(Y53,1))*R53,0)</f>
        <v>0</v>
      </c>
      <c r="AA53" s="110">
        <f>IF($Z53&gt;0,VLOOKUP($J53,Ruimtegroepen[],3,FALSE)*VLOOKUP($L53,Vloersoorten[],3,FALSE)*VLOOKUP($Y53,Frequenties[],3,FALSE)*VLOOKUP($A49,Locaties[],3,FALSE),0)</f>
        <v>0</v>
      </c>
      <c r="AB53" s="112">
        <f>Ruimtestaat[[#This Row],[Uitvoeringen weekend]]*Ruimtestaat[[#This Row],[Oppervlak (netto)]]</f>
        <v>0</v>
      </c>
      <c r="AC53" s="115">
        <f>IF(AB53&gt;0,Ruimtestaat[[#This Row],[Prest. (m2 /jaar) weekend]]/Ruimtestaat[[#This Row],[Norm (m2/uur) weekend]],0)</f>
        <v>0</v>
      </c>
      <c r="AD53" s="116">
        <f>Ruimtestaat[[#This Row],[uren / jaar weekend]]*Tariefsopbouw!$D$40</f>
        <v>0</v>
      </c>
      <c r="AE53" s="82">
        <f>Ruimtestaat[[#This Row],[Prest. (m2 /jaar) weekend]]+Ruimtestaat[[#This Row],[Prest. (m2 /jaar) werkdagen]]</f>
        <v>12000</v>
      </c>
      <c r="AF53" s="82">
        <f>Ruimtestaat[[#This Row],[uren / jaar weekend]]+Ruimtestaat[[#This Row],[uren / jaar werkdagen]]</f>
        <v>0</v>
      </c>
      <c r="AG53" s="83">
        <f>Ruimtestaat[[#This Row],[kosten / jaar weekend]]+Ruimtestaat[[#This Row],[kosten / jaar werkdagen]]</f>
        <v>0</v>
      </c>
      <c r="AH53" s="117"/>
      <c r="HL53" s="87"/>
    </row>
    <row r="54" spans="1:220" ht="15" customHeight="1">
      <c r="A54" s="136">
        <v>1</v>
      </c>
      <c r="B54" s="27" t="str">
        <f>VLOOKUP(Ruimtestaat[[#This Row],[Code]],Locaties[#All],2,FALSE)</f>
        <v>Amstelveen College</v>
      </c>
      <c r="C54" s="27" t="str">
        <f>VLOOKUP(Ruimtestaat[[#This Row],[Code]],Locaties[#All],4,FALSE)</f>
        <v>Sportlaan 27</v>
      </c>
      <c r="D54" s="27" t="str">
        <f>VLOOKUP(Ruimtestaat[[#This Row],[Code]],Locaties[#All],5,FALSE)</f>
        <v>1185 TB</v>
      </c>
      <c r="E54" s="27" t="str">
        <f>VLOOKUP(Ruimtestaat[[#This Row],[Code]],Locaties[#All],6,FALSE)</f>
        <v>Amstelveen</v>
      </c>
      <c r="F54" s="74"/>
      <c r="G54" s="27" t="s">
        <v>456</v>
      </c>
      <c r="H54" s="27" t="s">
        <v>405</v>
      </c>
      <c r="I54" s="24" t="s">
        <v>369</v>
      </c>
      <c r="J54" s="27">
        <v>6</v>
      </c>
      <c r="K54" s="74" t="str">
        <f>VLOOKUP(J54,Ruimtegroepen[],2,FALSE)</f>
        <v>Gangen/hallen</v>
      </c>
      <c r="L54" s="27" t="s">
        <v>114</v>
      </c>
      <c r="M54" s="27" t="s">
        <v>139</v>
      </c>
      <c r="N54" s="107">
        <v>18</v>
      </c>
      <c r="O54" s="107"/>
      <c r="P54" s="118" t="str">
        <f>LEFT(VLOOKUP(Ruimtestaat[[#This Row],[Ruimte code]],Ruimtegroepen[#All],4,1),2)</f>
        <v xml:space="preserve">V </v>
      </c>
      <c r="Q54" s="107"/>
      <c r="R54" s="108">
        <v>42</v>
      </c>
      <c r="S54" s="109" t="s">
        <v>2</v>
      </c>
      <c r="T54" s="110">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54" s="110">
        <f>IF(T54&gt;0,VLOOKUP($J54,Ruimtegroepen[],3,FALSE)*VLOOKUP($L54,Vloersoorten[],3,FALSE)*VLOOKUP($S54,Frequenties[],3,FALSE)*VLOOKUP($A54,Locaties[],3,FALSE),0)</f>
        <v>0</v>
      </c>
      <c r="V54" s="111">
        <f>Ruimtestaat[[#This Row],[Uitvoeringen werkdagen]]*Ruimtestaat[[#This Row],[Oppervlak (netto)]]</f>
        <v>3780</v>
      </c>
      <c r="W54" s="112">
        <f>IF(U54&gt;0,Ruimtestaat[[#This Row],[Prest. (m2 /jaar) werkdagen]]/Ruimtestaat[[#This Row],[Norm (m2/uur) werkdagen]],0)</f>
        <v>0</v>
      </c>
      <c r="X54" s="113">
        <f>Ruimtestaat[[#This Row],[uren / jaar werkdagen]]*Tariefsopbouw!$E$35</f>
        <v>0</v>
      </c>
      <c r="Y54" s="110"/>
      <c r="Z54" s="114">
        <f>IF(Ruimtestaat[[#This Row],[Frequentie weekend]]&gt;0,VALUE(LEFT(Y54,1))*R54,0)</f>
        <v>0</v>
      </c>
      <c r="AA54" s="110">
        <f>IF($Z54&gt;0,VLOOKUP($J54,Ruimtegroepen[],3,FALSE)*VLOOKUP($L54,Vloersoorten[],3,FALSE)*VLOOKUP($Y54,Frequenties[],3,FALSE)*VLOOKUP($A50,Locaties[],3,FALSE),0)</f>
        <v>0</v>
      </c>
      <c r="AB54" s="112">
        <f>Ruimtestaat[[#This Row],[Uitvoeringen weekend]]*Ruimtestaat[[#This Row],[Oppervlak (netto)]]</f>
        <v>0</v>
      </c>
      <c r="AC54" s="115">
        <f>IF(AB54&gt;0,Ruimtestaat[[#This Row],[Prest. (m2 /jaar) weekend]]/Ruimtestaat[[#This Row],[Norm (m2/uur) weekend]],0)</f>
        <v>0</v>
      </c>
      <c r="AD54" s="116">
        <f>Ruimtestaat[[#This Row],[uren / jaar weekend]]*Tariefsopbouw!$D$40</f>
        <v>0</v>
      </c>
      <c r="AE54" s="82">
        <f>Ruimtestaat[[#This Row],[Prest. (m2 /jaar) weekend]]+Ruimtestaat[[#This Row],[Prest. (m2 /jaar) werkdagen]]</f>
        <v>3780</v>
      </c>
      <c r="AF54" s="82">
        <f>Ruimtestaat[[#This Row],[uren / jaar weekend]]+Ruimtestaat[[#This Row],[uren / jaar werkdagen]]</f>
        <v>0</v>
      </c>
      <c r="AG54" s="83">
        <f>Ruimtestaat[[#This Row],[kosten / jaar weekend]]+Ruimtestaat[[#This Row],[kosten / jaar werkdagen]]</f>
        <v>0</v>
      </c>
      <c r="AH54" s="117"/>
      <c r="HL54" s="87"/>
    </row>
    <row r="55" spans="1:220" ht="15" customHeight="1">
      <c r="A55" s="136">
        <v>1</v>
      </c>
      <c r="B55" s="27" t="str">
        <f>VLOOKUP(Ruimtestaat[[#This Row],[Code]],Locaties[#All],2,FALSE)</f>
        <v>Amstelveen College</v>
      </c>
      <c r="C55" s="27" t="str">
        <f>VLOOKUP(Ruimtestaat[[#This Row],[Code]],Locaties[#All],4,FALSE)</f>
        <v>Sportlaan 27</v>
      </c>
      <c r="D55" s="27" t="str">
        <f>VLOOKUP(Ruimtestaat[[#This Row],[Code]],Locaties[#All],5,FALSE)</f>
        <v>1185 TB</v>
      </c>
      <c r="E55" s="27" t="str">
        <f>VLOOKUP(Ruimtestaat[[#This Row],[Code]],Locaties[#All],6,FALSE)</f>
        <v>Amstelveen</v>
      </c>
      <c r="F55" s="74"/>
      <c r="G55" s="27" t="s">
        <v>456</v>
      </c>
      <c r="H55" s="27" t="s">
        <v>402</v>
      </c>
      <c r="I55" s="24" t="s">
        <v>397</v>
      </c>
      <c r="J55" s="27">
        <v>14</v>
      </c>
      <c r="K55" s="74" t="str">
        <f>VLOOKUP(J55,Ruimtegroepen[],2,FALSE)</f>
        <v>Praktijklokalen binas/zorg</v>
      </c>
      <c r="L55" s="27" t="s">
        <v>115</v>
      </c>
      <c r="M55" s="27" t="s">
        <v>271</v>
      </c>
      <c r="N55" s="107">
        <v>100</v>
      </c>
      <c r="O55" s="107"/>
      <c r="P55" s="118" t="str">
        <f>LEFT(VLOOKUP(Ruimtestaat[[#This Row],[Ruimte code]],Ruimtegroepen[#All],4,1),2)</f>
        <v xml:space="preserve">L </v>
      </c>
      <c r="Q55" s="107"/>
      <c r="R55" s="108">
        <v>40</v>
      </c>
      <c r="S55" s="109" t="s">
        <v>18</v>
      </c>
      <c r="T55" s="110">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5" s="110">
        <f>IF(T55&gt;0,VLOOKUP($J55,Ruimtegroepen[],3,FALSE)*VLOOKUP($L55,Vloersoorten[],3,FALSE)*VLOOKUP($S55,Frequenties[],3,FALSE)*VLOOKUP($A55,Locaties[],3,FALSE),0)</f>
        <v>0</v>
      </c>
      <c r="V55" s="111">
        <f>Ruimtestaat[[#This Row],[Uitvoeringen werkdagen]]*Ruimtestaat[[#This Row],[Oppervlak (netto)]]</f>
        <v>12000</v>
      </c>
      <c r="W55" s="112">
        <f>IF(U55&gt;0,Ruimtestaat[[#This Row],[Prest. (m2 /jaar) werkdagen]]/Ruimtestaat[[#This Row],[Norm (m2/uur) werkdagen]],0)</f>
        <v>0</v>
      </c>
      <c r="X55" s="113">
        <f>Ruimtestaat[[#This Row],[uren / jaar werkdagen]]*Tariefsopbouw!$E$35</f>
        <v>0</v>
      </c>
      <c r="Y55" s="110"/>
      <c r="Z55" s="114">
        <f>IF(Ruimtestaat[[#This Row],[Frequentie weekend]]&gt;0,VALUE(LEFT(Y55,1))*R55,0)</f>
        <v>0</v>
      </c>
      <c r="AA55" s="110">
        <f>IF($Z55&gt;0,VLOOKUP($J55,Ruimtegroepen[],3,FALSE)*VLOOKUP($L55,Vloersoorten[],3,FALSE)*VLOOKUP($Y55,Frequenties[],3,FALSE)*VLOOKUP($A51,Locaties[],3,FALSE),0)</f>
        <v>0</v>
      </c>
      <c r="AB55" s="112">
        <f>Ruimtestaat[[#This Row],[Uitvoeringen weekend]]*Ruimtestaat[[#This Row],[Oppervlak (netto)]]</f>
        <v>0</v>
      </c>
      <c r="AC55" s="115">
        <f>IF(AB55&gt;0,Ruimtestaat[[#This Row],[Prest. (m2 /jaar) weekend]]/Ruimtestaat[[#This Row],[Norm (m2/uur) weekend]],0)</f>
        <v>0</v>
      </c>
      <c r="AD55" s="116">
        <f>Ruimtestaat[[#This Row],[uren / jaar weekend]]*Tariefsopbouw!$D$40</f>
        <v>0</v>
      </c>
      <c r="AE55" s="82">
        <f>Ruimtestaat[[#This Row],[Prest. (m2 /jaar) weekend]]+Ruimtestaat[[#This Row],[Prest. (m2 /jaar) werkdagen]]</f>
        <v>12000</v>
      </c>
      <c r="AF55" s="82">
        <f>Ruimtestaat[[#This Row],[uren / jaar weekend]]+Ruimtestaat[[#This Row],[uren / jaar werkdagen]]</f>
        <v>0</v>
      </c>
      <c r="AG55" s="83">
        <f>Ruimtestaat[[#This Row],[kosten / jaar weekend]]+Ruimtestaat[[#This Row],[kosten / jaar werkdagen]]</f>
        <v>0</v>
      </c>
      <c r="AH55" s="117"/>
      <c r="HL55" s="87"/>
    </row>
    <row r="56" spans="1:220" ht="15" customHeight="1">
      <c r="A56" s="136">
        <v>1</v>
      </c>
      <c r="B56" s="27" t="str">
        <f>VLOOKUP(Ruimtestaat[[#This Row],[Code]],Locaties[#All],2,FALSE)</f>
        <v>Amstelveen College</v>
      </c>
      <c r="C56" s="27" t="str">
        <f>VLOOKUP(Ruimtestaat[[#This Row],[Code]],Locaties[#All],4,FALSE)</f>
        <v>Sportlaan 27</v>
      </c>
      <c r="D56" s="27" t="str">
        <f>VLOOKUP(Ruimtestaat[[#This Row],[Code]],Locaties[#All],5,FALSE)</f>
        <v>1185 TB</v>
      </c>
      <c r="E56" s="27" t="str">
        <f>VLOOKUP(Ruimtestaat[[#This Row],[Code]],Locaties[#All],6,FALSE)</f>
        <v>Amstelveen</v>
      </c>
      <c r="F56" s="74"/>
      <c r="G56" s="27" t="s">
        <v>456</v>
      </c>
      <c r="H56" s="27" t="s">
        <v>403</v>
      </c>
      <c r="I56" s="24" t="s">
        <v>479</v>
      </c>
      <c r="J56" s="27">
        <v>16</v>
      </c>
      <c r="K56" s="74" t="str">
        <f>VLOOKUP(J56,Ruimtegroepen[],2,FALSE)</f>
        <v>Leslokalen theorie</v>
      </c>
      <c r="L56" s="27" t="s">
        <v>114</v>
      </c>
      <c r="M56" s="27" t="s">
        <v>139</v>
      </c>
      <c r="N56" s="107">
        <v>103</v>
      </c>
      <c r="O56" s="107"/>
      <c r="P56" s="118" t="str">
        <f>LEFT(VLOOKUP(Ruimtestaat[[#This Row],[Ruimte code]],Ruimtegroepen[#All],4,1),2)</f>
        <v xml:space="preserve">L </v>
      </c>
      <c r="Q56" s="107"/>
      <c r="R56" s="108">
        <v>40</v>
      </c>
      <c r="S56" s="109" t="s">
        <v>18</v>
      </c>
      <c r="T56" s="110">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56" s="110">
        <f>IF(T56&gt;0,VLOOKUP($J56,Ruimtegroepen[],3,FALSE)*VLOOKUP($L56,Vloersoorten[],3,FALSE)*VLOOKUP($S56,Frequenties[],3,FALSE)*VLOOKUP($A56,Locaties[],3,FALSE),0)</f>
        <v>0</v>
      </c>
      <c r="V56" s="111">
        <f>Ruimtestaat[[#This Row],[Uitvoeringen werkdagen]]*Ruimtestaat[[#This Row],[Oppervlak (netto)]]</f>
        <v>12360</v>
      </c>
      <c r="W56" s="112">
        <f>IF(U56&gt;0,Ruimtestaat[[#This Row],[Prest. (m2 /jaar) werkdagen]]/Ruimtestaat[[#This Row],[Norm (m2/uur) werkdagen]],0)</f>
        <v>0</v>
      </c>
      <c r="X56" s="113">
        <f>Ruimtestaat[[#This Row],[uren / jaar werkdagen]]*Tariefsopbouw!$E$35</f>
        <v>0</v>
      </c>
      <c r="Y56" s="110"/>
      <c r="Z56" s="114">
        <f>IF(Ruimtestaat[[#This Row],[Frequentie weekend]]&gt;0,VALUE(LEFT(Y56,1))*R56,0)</f>
        <v>0</v>
      </c>
      <c r="AA56" s="110">
        <f>IF($Z56&gt;0,VLOOKUP($J56,Ruimtegroepen[],3,FALSE)*VLOOKUP($L56,Vloersoorten[],3,FALSE)*VLOOKUP($Y56,Frequenties[],3,FALSE)*VLOOKUP($A52,Locaties[],3,FALSE),0)</f>
        <v>0</v>
      </c>
      <c r="AB56" s="112">
        <f>Ruimtestaat[[#This Row],[Uitvoeringen weekend]]*Ruimtestaat[[#This Row],[Oppervlak (netto)]]</f>
        <v>0</v>
      </c>
      <c r="AC56" s="115">
        <f>IF(AB56&gt;0,Ruimtestaat[[#This Row],[Prest. (m2 /jaar) weekend]]/Ruimtestaat[[#This Row],[Norm (m2/uur) weekend]],0)</f>
        <v>0</v>
      </c>
      <c r="AD56" s="116">
        <f>Ruimtestaat[[#This Row],[uren / jaar weekend]]*Tariefsopbouw!$D$40</f>
        <v>0</v>
      </c>
      <c r="AE56" s="82">
        <f>Ruimtestaat[[#This Row],[Prest. (m2 /jaar) weekend]]+Ruimtestaat[[#This Row],[Prest. (m2 /jaar) werkdagen]]</f>
        <v>12360</v>
      </c>
      <c r="AF56" s="82">
        <f>Ruimtestaat[[#This Row],[uren / jaar weekend]]+Ruimtestaat[[#This Row],[uren / jaar werkdagen]]</f>
        <v>0</v>
      </c>
      <c r="AG56" s="83">
        <f>Ruimtestaat[[#This Row],[kosten / jaar weekend]]+Ruimtestaat[[#This Row],[kosten / jaar werkdagen]]</f>
        <v>0</v>
      </c>
      <c r="AH56" s="117"/>
      <c r="HL56" s="87"/>
    </row>
    <row r="57" spans="1:220" ht="15" customHeight="1">
      <c r="A57" s="136">
        <v>1</v>
      </c>
      <c r="B57" s="27" t="str">
        <f>VLOOKUP(Ruimtestaat[[#This Row],[Code]],Locaties[#All],2,FALSE)</f>
        <v>Amstelveen College</v>
      </c>
      <c r="C57" s="27" t="str">
        <f>VLOOKUP(Ruimtestaat[[#This Row],[Code]],Locaties[#All],4,FALSE)</f>
        <v>Sportlaan 27</v>
      </c>
      <c r="D57" s="27" t="str">
        <f>VLOOKUP(Ruimtestaat[[#This Row],[Code]],Locaties[#All],5,FALSE)</f>
        <v>1185 TB</v>
      </c>
      <c r="E57" s="27" t="str">
        <f>VLOOKUP(Ruimtestaat[[#This Row],[Code]],Locaties[#All],6,FALSE)</f>
        <v>Amstelveen</v>
      </c>
      <c r="F57" s="74"/>
      <c r="G57" s="27" t="s">
        <v>456</v>
      </c>
      <c r="H57" s="27" t="s">
        <v>404</v>
      </c>
      <c r="I57" s="24" t="s">
        <v>411</v>
      </c>
      <c r="J57" s="27">
        <v>6</v>
      </c>
      <c r="K57" s="74" t="str">
        <f>VLOOKUP(J57,Ruimtegroepen[],2,FALSE)</f>
        <v>Gangen/hallen</v>
      </c>
      <c r="L57" s="27" t="s">
        <v>114</v>
      </c>
      <c r="M57" s="27" t="s">
        <v>139</v>
      </c>
      <c r="N57" s="107">
        <v>12</v>
      </c>
      <c r="O57" s="107"/>
      <c r="P57" s="118" t="str">
        <f>LEFT(VLOOKUP(Ruimtestaat[[#This Row],[Ruimte code]],Ruimtegroepen[#All],4,1),2)</f>
        <v xml:space="preserve">V </v>
      </c>
      <c r="Q57" s="107"/>
      <c r="R57" s="108">
        <v>42</v>
      </c>
      <c r="S57" s="109" t="s">
        <v>2</v>
      </c>
      <c r="T57" s="110">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57" s="110">
        <f>IF(T57&gt;0,VLOOKUP($J57,Ruimtegroepen[],3,FALSE)*VLOOKUP($L57,Vloersoorten[],3,FALSE)*VLOOKUP($S57,Frequenties[],3,FALSE)*VLOOKUP($A57,Locaties[],3,FALSE),0)</f>
        <v>0</v>
      </c>
      <c r="V57" s="111">
        <f>Ruimtestaat[[#This Row],[Uitvoeringen werkdagen]]*Ruimtestaat[[#This Row],[Oppervlak (netto)]]</f>
        <v>2520</v>
      </c>
      <c r="W57" s="112">
        <f>IF(U57&gt;0,Ruimtestaat[[#This Row],[Prest. (m2 /jaar) werkdagen]]/Ruimtestaat[[#This Row],[Norm (m2/uur) werkdagen]],0)</f>
        <v>0</v>
      </c>
      <c r="X57" s="113">
        <f>Ruimtestaat[[#This Row],[uren / jaar werkdagen]]*Tariefsopbouw!$E$35</f>
        <v>0</v>
      </c>
      <c r="Y57" s="110"/>
      <c r="Z57" s="114">
        <f>IF(Ruimtestaat[[#This Row],[Frequentie weekend]]&gt;0,VALUE(LEFT(Y57,1))*R57,0)</f>
        <v>0</v>
      </c>
      <c r="AA57" s="110">
        <f>IF($Z57&gt;0,VLOOKUP($J57,Ruimtegroepen[],3,FALSE)*VLOOKUP($L57,Vloersoorten[],3,FALSE)*VLOOKUP($Y57,Frequenties[],3,FALSE)*VLOOKUP($A49,Locaties[],3,FALSE),0)</f>
        <v>0</v>
      </c>
      <c r="AB57" s="112">
        <f>Ruimtestaat[[#This Row],[Uitvoeringen weekend]]*Ruimtestaat[[#This Row],[Oppervlak (netto)]]</f>
        <v>0</v>
      </c>
      <c r="AC57" s="115">
        <f>IF(AB57&gt;0,Ruimtestaat[[#This Row],[Prest. (m2 /jaar) weekend]]/Ruimtestaat[[#This Row],[Norm (m2/uur) weekend]],0)</f>
        <v>0</v>
      </c>
      <c r="AD57" s="116">
        <f>Ruimtestaat[[#This Row],[uren / jaar weekend]]*Tariefsopbouw!$D$40</f>
        <v>0</v>
      </c>
      <c r="AE57" s="82">
        <f>Ruimtestaat[[#This Row],[Prest. (m2 /jaar) weekend]]+Ruimtestaat[[#This Row],[Prest. (m2 /jaar) werkdagen]]</f>
        <v>2520</v>
      </c>
      <c r="AF57" s="82">
        <f>Ruimtestaat[[#This Row],[uren / jaar weekend]]+Ruimtestaat[[#This Row],[uren / jaar werkdagen]]</f>
        <v>0</v>
      </c>
      <c r="AG57" s="83">
        <f>Ruimtestaat[[#This Row],[kosten / jaar weekend]]+Ruimtestaat[[#This Row],[kosten / jaar werkdagen]]</f>
        <v>0</v>
      </c>
      <c r="AH57" s="117"/>
      <c r="HL57" s="87"/>
    </row>
    <row r="58" spans="1:220" ht="15" customHeight="1">
      <c r="A58" s="136">
        <v>1</v>
      </c>
      <c r="B58" s="27" t="str">
        <f>VLOOKUP(Ruimtestaat[[#This Row],[Code]],Locaties[#All],2,FALSE)</f>
        <v>Amstelveen College</v>
      </c>
      <c r="C58" s="27" t="str">
        <f>VLOOKUP(Ruimtestaat[[#This Row],[Code]],Locaties[#All],4,FALSE)</f>
        <v>Sportlaan 27</v>
      </c>
      <c r="D58" s="27" t="str">
        <f>VLOOKUP(Ruimtestaat[[#This Row],[Code]],Locaties[#All],5,FALSE)</f>
        <v>1185 TB</v>
      </c>
      <c r="E58" s="27" t="str">
        <f>VLOOKUP(Ruimtestaat[[#This Row],[Code]],Locaties[#All],6,FALSE)</f>
        <v>Amstelveen</v>
      </c>
      <c r="F58" s="74"/>
      <c r="G58" s="27" t="s">
        <v>456</v>
      </c>
      <c r="H58" s="27" t="s">
        <v>447</v>
      </c>
      <c r="I58" s="24" t="s">
        <v>452</v>
      </c>
      <c r="J58" s="27">
        <v>20</v>
      </c>
      <c r="K58" s="74" t="str">
        <f>VLOOKUP(J58,Ruimtegroepen[],2,FALSE)</f>
        <v>Niet in onderhoud</v>
      </c>
      <c r="M58" s="27"/>
      <c r="N58" s="107"/>
      <c r="O58" s="107">
        <v>75</v>
      </c>
      <c r="P58" s="118" t="str">
        <f>LEFT(VLOOKUP(Ruimtestaat[[#This Row],[Ruimte code]],Ruimtegroepen[#All],4,1),2)</f>
        <v/>
      </c>
      <c r="Q58" s="107"/>
      <c r="R58" s="108"/>
      <c r="S58" s="109"/>
      <c r="T58" s="110">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8" s="110">
        <f>IF(T58&gt;0,VLOOKUP($J58,Ruimtegroepen[],3,FALSE)*VLOOKUP($L58,Vloersoorten[],3,FALSE)*VLOOKUP($S58,Frequenties[],3,FALSE)*VLOOKUP($A58,Locaties[],3,FALSE),0)</f>
        <v>0</v>
      </c>
      <c r="V58" s="111">
        <f>Ruimtestaat[[#This Row],[Uitvoeringen werkdagen]]*Ruimtestaat[[#This Row],[Oppervlak (netto)]]</f>
        <v>0</v>
      </c>
      <c r="W58" s="112">
        <f>IF(U58&gt;0,Ruimtestaat[[#This Row],[Prest. (m2 /jaar) werkdagen]]/Ruimtestaat[[#This Row],[Norm (m2/uur) werkdagen]],0)</f>
        <v>0</v>
      </c>
      <c r="X58" s="113">
        <f>Ruimtestaat[[#This Row],[uren / jaar werkdagen]]*Tariefsopbouw!$E$35</f>
        <v>0</v>
      </c>
      <c r="Y58" s="110"/>
      <c r="Z58" s="114">
        <f>IF(Ruimtestaat[[#This Row],[Frequentie weekend]]&gt;0,VALUE(LEFT(Y58,1))*R58,0)</f>
        <v>0</v>
      </c>
      <c r="AA58" s="110">
        <f>IF($Z58&gt;0,VLOOKUP($J58,Ruimtegroepen[],3,FALSE)*VLOOKUP($L58,Vloersoorten[],3,FALSE)*VLOOKUP($Y58,Frequenties[],3,FALSE)*VLOOKUP($A50,Locaties[],3,FALSE),0)</f>
        <v>0</v>
      </c>
      <c r="AB58" s="112">
        <f>Ruimtestaat[[#This Row],[Uitvoeringen weekend]]*Ruimtestaat[[#This Row],[Oppervlak (netto)]]</f>
        <v>0</v>
      </c>
      <c r="AC58" s="115">
        <f>IF(AB58&gt;0,Ruimtestaat[[#This Row],[Prest. (m2 /jaar) weekend]]/Ruimtestaat[[#This Row],[Norm (m2/uur) weekend]],0)</f>
        <v>0</v>
      </c>
      <c r="AD58" s="116">
        <f>Ruimtestaat[[#This Row],[uren / jaar weekend]]*Tariefsopbouw!$D$40</f>
        <v>0</v>
      </c>
      <c r="AE58" s="82">
        <f>Ruimtestaat[[#This Row],[Prest. (m2 /jaar) weekend]]+Ruimtestaat[[#This Row],[Prest. (m2 /jaar) werkdagen]]</f>
        <v>0</v>
      </c>
      <c r="AF58" s="82">
        <f>Ruimtestaat[[#This Row],[uren / jaar weekend]]+Ruimtestaat[[#This Row],[uren / jaar werkdagen]]</f>
        <v>0</v>
      </c>
      <c r="AG58" s="83">
        <f>Ruimtestaat[[#This Row],[kosten / jaar weekend]]+Ruimtestaat[[#This Row],[kosten / jaar werkdagen]]</f>
        <v>0</v>
      </c>
      <c r="AH58" s="117"/>
      <c r="HL58" s="87"/>
    </row>
    <row r="59" spans="1:220" ht="15" customHeight="1">
      <c r="A59" s="136">
        <v>1</v>
      </c>
      <c r="B59" s="27" t="str">
        <f>VLOOKUP(Ruimtestaat[[#This Row],[Code]],Locaties[#All],2,FALSE)</f>
        <v>Amstelveen College</v>
      </c>
      <c r="C59" s="27" t="str">
        <f>VLOOKUP(Ruimtestaat[[#This Row],[Code]],Locaties[#All],4,FALSE)</f>
        <v>Sportlaan 27</v>
      </c>
      <c r="D59" s="27" t="str">
        <f>VLOOKUP(Ruimtestaat[[#This Row],[Code]],Locaties[#All],5,FALSE)</f>
        <v>1185 TB</v>
      </c>
      <c r="E59" s="27" t="str">
        <f>VLOOKUP(Ruimtestaat[[#This Row],[Code]],Locaties[#All],6,FALSE)</f>
        <v>Amstelveen</v>
      </c>
      <c r="F59" s="74"/>
      <c r="G59" s="27" t="s">
        <v>456</v>
      </c>
      <c r="H59" s="27" t="s">
        <v>443</v>
      </c>
      <c r="I59" s="24" t="s">
        <v>374</v>
      </c>
      <c r="J59" s="27">
        <v>20</v>
      </c>
      <c r="K59" s="74" t="str">
        <f>VLOOKUP(J59,Ruimtegroepen[],2,FALSE)</f>
        <v>Niet in onderhoud</v>
      </c>
      <c r="M59" s="27"/>
      <c r="N59" s="107"/>
      <c r="O59" s="107">
        <v>2</v>
      </c>
      <c r="P59" s="118" t="str">
        <f>LEFT(VLOOKUP(Ruimtestaat[[#This Row],[Ruimte code]],Ruimtegroepen[#All],4,1),2)</f>
        <v/>
      </c>
      <c r="Q59" s="107"/>
      <c r="R59" s="108"/>
      <c r="S59" s="109"/>
      <c r="T59" s="110">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 s="110">
        <f>IF(T59&gt;0,VLOOKUP($J59,Ruimtegroepen[],3,FALSE)*VLOOKUP($L59,Vloersoorten[],3,FALSE)*VLOOKUP($S59,Frequenties[],3,FALSE)*VLOOKUP($A59,Locaties[],3,FALSE),0)</f>
        <v>0</v>
      </c>
      <c r="V59" s="111">
        <f>Ruimtestaat[[#This Row],[Uitvoeringen werkdagen]]*Ruimtestaat[[#This Row],[Oppervlak (netto)]]</f>
        <v>0</v>
      </c>
      <c r="W59" s="112">
        <f>IF(U59&gt;0,Ruimtestaat[[#This Row],[Prest. (m2 /jaar) werkdagen]]/Ruimtestaat[[#This Row],[Norm (m2/uur) werkdagen]],0)</f>
        <v>0</v>
      </c>
      <c r="X59" s="113">
        <f>Ruimtestaat[[#This Row],[uren / jaar werkdagen]]*Tariefsopbouw!$E$35</f>
        <v>0</v>
      </c>
      <c r="Y59" s="110"/>
      <c r="Z59" s="114">
        <f>IF(Ruimtestaat[[#This Row],[Frequentie weekend]]&gt;0,VALUE(LEFT(Y59,1))*R59,0)</f>
        <v>0</v>
      </c>
      <c r="AA59" s="110">
        <f>IF($Z59&gt;0,VLOOKUP($J59,Ruimtegroepen[],3,FALSE)*VLOOKUP($L59,Vloersoorten[],3,FALSE)*VLOOKUP($Y59,Frequenties[],3,FALSE)*VLOOKUP($A51,Locaties[],3,FALSE),0)</f>
        <v>0</v>
      </c>
      <c r="AB59" s="112">
        <f>Ruimtestaat[[#This Row],[Uitvoeringen weekend]]*Ruimtestaat[[#This Row],[Oppervlak (netto)]]</f>
        <v>0</v>
      </c>
      <c r="AC59" s="115">
        <f>IF(AB59&gt;0,Ruimtestaat[[#This Row],[Prest. (m2 /jaar) weekend]]/Ruimtestaat[[#This Row],[Norm (m2/uur) weekend]],0)</f>
        <v>0</v>
      </c>
      <c r="AD59" s="116">
        <f>Ruimtestaat[[#This Row],[uren / jaar weekend]]*Tariefsopbouw!$D$40</f>
        <v>0</v>
      </c>
      <c r="AE59" s="82">
        <f>Ruimtestaat[[#This Row],[Prest. (m2 /jaar) weekend]]+Ruimtestaat[[#This Row],[Prest. (m2 /jaar) werkdagen]]</f>
        <v>0</v>
      </c>
      <c r="AF59" s="82">
        <f>Ruimtestaat[[#This Row],[uren / jaar weekend]]+Ruimtestaat[[#This Row],[uren / jaar werkdagen]]</f>
        <v>0</v>
      </c>
      <c r="AG59" s="83">
        <f>Ruimtestaat[[#This Row],[kosten / jaar weekend]]+Ruimtestaat[[#This Row],[kosten / jaar werkdagen]]</f>
        <v>0</v>
      </c>
      <c r="AH59" s="117"/>
      <c r="HL59" s="87"/>
    </row>
    <row r="60" spans="1:220" ht="15" customHeight="1">
      <c r="A60" s="136">
        <v>1</v>
      </c>
      <c r="B60" s="27" t="str">
        <f>VLOOKUP(Ruimtestaat[[#This Row],[Code]],Locaties[#All],2,FALSE)</f>
        <v>Amstelveen College</v>
      </c>
      <c r="C60" s="27" t="str">
        <f>VLOOKUP(Ruimtestaat[[#This Row],[Code]],Locaties[#All],4,FALSE)</f>
        <v>Sportlaan 27</v>
      </c>
      <c r="D60" s="27" t="str">
        <f>VLOOKUP(Ruimtestaat[[#This Row],[Code]],Locaties[#All],5,FALSE)</f>
        <v>1185 TB</v>
      </c>
      <c r="E60" s="27" t="str">
        <f>VLOOKUP(Ruimtestaat[[#This Row],[Code]],Locaties[#All],6,FALSE)</f>
        <v>Amstelveen</v>
      </c>
      <c r="F60" s="74"/>
      <c r="G60" s="27" t="s">
        <v>456</v>
      </c>
      <c r="H60" s="27" t="s">
        <v>444</v>
      </c>
      <c r="I60" s="24" t="s">
        <v>441</v>
      </c>
      <c r="J60" s="27">
        <v>20</v>
      </c>
      <c r="K60" s="74" t="str">
        <f>VLOOKUP(J60,Ruimtegroepen[],2,FALSE)</f>
        <v>Niet in onderhoud</v>
      </c>
      <c r="M60" s="27"/>
      <c r="N60" s="107"/>
      <c r="O60" s="107">
        <v>9</v>
      </c>
      <c r="P60" s="118" t="str">
        <f>LEFT(VLOOKUP(Ruimtestaat[[#This Row],[Ruimte code]],Ruimtegroepen[#All],4,1),2)</f>
        <v/>
      </c>
      <c r="Q60" s="107"/>
      <c r="R60" s="108"/>
      <c r="S60" s="109"/>
      <c r="T60" s="110">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0" s="110">
        <f>IF(T60&gt;0,VLOOKUP($J60,Ruimtegroepen[],3,FALSE)*VLOOKUP($L60,Vloersoorten[],3,FALSE)*VLOOKUP($S60,Frequenties[],3,FALSE)*VLOOKUP($A60,Locaties[],3,FALSE),0)</f>
        <v>0</v>
      </c>
      <c r="V60" s="111">
        <f>Ruimtestaat[[#This Row],[Uitvoeringen werkdagen]]*Ruimtestaat[[#This Row],[Oppervlak (netto)]]</f>
        <v>0</v>
      </c>
      <c r="W60" s="112">
        <f>IF(U60&gt;0,Ruimtestaat[[#This Row],[Prest. (m2 /jaar) werkdagen]]/Ruimtestaat[[#This Row],[Norm (m2/uur) werkdagen]],0)</f>
        <v>0</v>
      </c>
      <c r="X60" s="113">
        <f>Ruimtestaat[[#This Row],[uren / jaar werkdagen]]*Tariefsopbouw!$E$35</f>
        <v>0</v>
      </c>
      <c r="Y60" s="110"/>
      <c r="Z60" s="114">
        <f>IF(Ruimtestaat[[#This Row],[Frequentie weekend]]&gt;0,VALUE(LEFT(Y60,1))*R60,0)</f>
        <v>0</v>
      </c>
      <c r="AA60" s="110">
        <f>IF($Z60&gt;0,VLOOKUP($J60,Ruimtegroepen[],3,FALSE)*VLOOKUP($L60,Vloersoorten[],3,FALSE)*VLOOKUP($Y60,Frequenties[],3,FALSE)*VLOOKUP($A52,Locaties[],3,FALSE),0)</f>
        <v>0</v>
      </c>
      <c r="AB60" s="112">
        <f>Ruimtestaat[[#This Row],[Uitvoeringen weekend]]*Ruimtestaat[[#This Row],[Oppervlak (netto)]]</f>
        <v>0</v>
      </c>
      <c r="AC60" s="115">
        <f>IF(AB60&gt;0,Ruimtestaat[[#This Row],[Prest. (m2 /jaar) weekend]]/Ruimtestaat[[#This Row],[Norm (m2/uur) weekend]],0)</f>
        <v>0</v>
      </c>
      <c r="AD60" s="116">
        <f>Ruimtestaat[[#This Row],[uren / jaar weekend]]*Tariefsopbouw!$D$40</f>
        <v>0</v>
      </c>
      <c r="AE60" s="82">
        <f>Ruimtestaat[[#This Row],[Prest. (m2 /jaar) weekend]]+Ruimtestaat[[#This Row],[Prest. (m2 /jaar) werkdagen]]</f>
        <v>0</v>
      </c>
      <c r="AF60" s="82">
        <f>Ruimtestaat[[#This Row],[uren / jaar weekend]]+Ruimtestaat[[#This Row],[uren / jaar werkdagen]]</f>
        <v>0</v>
      </c>
      <c r="AG60" s="83">
        <f>Ruimtestaat[[#This Row],[kosten / jaar weekend]]+Ruimtestaat[[#This Row],[kosten / jaar werkdagen]]</f>
        <v>0</v>
      </c>
      <c r="AH60" s="117"/>
      <c r="HL60" s="87"/>
    </row>
    <row r="61" spans="1:220" ht="15" customHeight="1">
      <c r="A61" s="136">
        <v>1</v>
      </c>
      <c r="B61" s="27" t="str">
        <f>VLOOKUP(Ruimtestaat[[#This Row],[Code]],Locaties[#All],2,FALSE)</f>
        <v>Amstelveen College</v>
      </c>
      <c r="C61" s="27" t="str">
        <f>VLOOKUP(Ruimtestaat[[#This Row],[Code]],Locaties[#All],4,FALSE)</f>
        <v>Sportlaan 27</v>
      </c>
      <c r="D61" s="27" t="str">
        <f>VLOOKUP(Ruimtestaat[[#This Row],[Code]],Locaties[#All],5,FALSE)</f>
        <v>1185 TB</v>
      </c>
      <c r="E61" s="27" t="str">
        <f>VLOOKUP(Ruimtestaat[[#This Row],[Code]],Locaties[#All],6,FALSE)</f>
        <v>Amstelveen</v>
      </c>
      <c r="F61" s="74"/>
      <c r="G61" s="27" t="s">
        <v>456</v>
      </c>
      <c r="H61" s="27" t="s">
        <v>445</v>
      </c>
      <c r="I61" s="24" t="s">
        <v>451</v>
      </c>
      <c r="J61" s="27">
        <v>20</v>
      </c>
      <c r="K61" s="74" t="str">
        <f>VLOOKUP(J61,Ruimtegroepen[],2,FALSE)</f>
        <v>Niet in onderhoud</v>
      </c>
      <c r="M61" s="27"/>
      <c r="N61" s="107"/>
      <c r="O61" s="107">
        <v>8</v>
      </c>
      <c r="P61" s="118" t="str">
        <f>LEFT(VLOOKUP(Ruimtestaat[[#This Row],[Ruimte code]],Ruimtegroepen[#All],4,1),2)</f>
        <v/>
      </c>
      <c r="Q61" s="107"/>
      <c r="R61" s="108"/>
      <c r="S61" s="109"/>
      <c r="T61" s="110">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1" s="110">
        <f>IF(T61&gt;0,VLOOKUP($J61,Ruimtegroepen[],3,FALSE)*VLOOKUP($L61,Vloersoorten[],3,FALSE)*VLOOKUP($S61,Frequenties[],3,FALSE)*VLOOKUP($A61,Locaties[],3,FALSE),0)</f>
        <v>0</v>
      </c>
      <c r="V61" s="111">
        <f>Ruimtestaat[[#This Row],[Uitvoeringen werkdagen]]*Ruimtestaat[[#This Row],[Oppervlak (netto)]]</f>
        <v>0</v>
      </c>
      <c r="W61" s="112">
        <f>IF(U61&gt;0,Ruimtestaat[[#This Row],[Prest. (m2 /jaar) werkdagen]]/Ruimtestaat[[#This Row],[Norm (m2/uur) werkdagen]],0)</f>
        <v>0</v>
      </c>
      <c r="X61" s="113">
        <f>Ruimtestaat[[#This Row],[uren / jaar werkdagen]]*Tariefsopbouw!$E$35</f>
        <v>0</v>
      </c>
      <c r="Y61" s="110"/>
      <c r="Z61" s="114">
        <f>IF(Ruimtestaat[[#This Row],[Frequentie weekend]]&gt;0,VALUE(LEFT(Y61,1))*R61,0)</f>
        <v>0</v>
      </c>
      <c r="AA61" s="110">
        <f>IF($Z61&gt;0,VLOOKUP($J61,Ruimtegroepen[],3,FALSE)*VLOOKUP($L61,Vloersoorten[],3,FALSE)*VLOOKUP($Y61,Frequenties[],3,FALSE)*VLOOKUP($A53,Locaties[],3,FALSE),0)</f>
        <v>0</v>
      </c>
      <c r="AB61" s="112">
        <f>Ruimtestaat[[#This Row],[Uitvoeringen weekend]]*Ruimtestaat[[#This Row],[Oppervlak (netto)]]</f>
        <v>0</v>
      </c>
      <c r="AC61" s="115">
        <f>IF(AB61&gt;0,Ruimtestaat[[#This Row],[Prest. (m2 /jaar) weekend]]/Ruimtestaat[[#This Row],[Norm (m2/uur) weekend]],0)</f>
        <v>0</v>
      </c>
      <c r="AD61" s="116">
        <f>Ruimtestaat[[#This Row],[uren / jaar weekend]]*Tariefsopbouw!$D$40</f>
        <v>0</v>
      </c>
      <c r="AE61" s="82">
        <f>Ruimtestaat[[#This Row],[Prest. (m2 /jaar) weekend]]+Ruimtestaat[[#This Row],[Prest. (m2 /jaar) werkdagen]]</f>
        <v>0</v>
      </c>
      <c r="AF61" s="82">
        <f>Ruimtestaat[[#This Row],[uren / jaar weekend]]+Ruimtestaat[[#This Row],[uren / jaar werkdagen]]</f>
        <v>0</v>
      </c>
      <c r="AG61" s="83">
        <f>Ruimtestaat[[#This Row],[kosten / jaar weekend]]+Ruimtestaat[[#This Row],[kosten / jaar werkdagen]]</f>
        <v>0</v>
      </c>
      <c r="AH61" s="117"/>
      <c r="HL61" s="87"/>
    </row>
    <row r="62" spans="1:220" ht="15" customHeight="1">
      <c r="A62" s="136">
        <v>1</v>
      </c>
      <c r="B62" s="27" t="str">
        <f>VLOOKUP(Ruimtestaat[[#This Row],[Code]],Locaties[#All],2,FALSE)</f>
        <v>Amstelveen College</v>
      </c>
      <c r="C62" s="27" t="str">
        <f>VLOOKUP(Ruimtestaat[[#This Row],[Code]],Locaties[#All],4,FALSE)</f>
        <v>Sportlaan 27</v>
      </c>
      <c r="D62" s="27" t="str">
        <f>VLOOKUP(Ruimtestaat[[#This Row],[Code]],Locaties[#All],5,FALSE)</f>
        <v>1185 TB</v>
      </c>
      <c r="E62" s="27" t="str">
        <f>VLOOKUP(Ruimtestaat[[#This Row],[Code]],Locaties[#All],6,FALSE)</f>
        <v>Amstelveen</v>
      </c>
      <c r="F62" s="74"/>
      <c r="G62" s="27" t="s">
        <v>456</v>
      </c>
      <c r="H62" s="27" t="s">
        <v>446</v>
      </c>
      <c r="I62" s="24" t="s">
        <v>449</v>
      </c>
      <c r="J62" s="27">
        <v>20</v>
      </c>
      <c r="K62" s="74" t="str">
        <f>VLOOKUP(J62,Ruimtegroepen[],2,FALSE)</f>
        <v>Niet in onderhoud</v>
      </c>
      <c r="M62" s="27"/>
      <c r="N62" s="107"/>
      <c r="O62" s="107">
        <v>3</v>
      </c>
      <c r="P62" s="118" t="str">
        <f>LEFT(VLOOKUP(Ruimtestaat[[#This Row],[Ruimte code]],Ruimtegroepen[#All],4,1),2)</f>
        <v/>
      </c>
      <c r="Q62" s="107"/>
      <c r="R62" s="108"/>
      <c r="S62" s="109"/>
      <c r="T62" s="110">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 s="110">
        <f>IF(T62&gt;0,VLOOKUP($J62,Ruimtegroepen[],3,FALSE)*VLOOKUP($L62,Vloersoorten[],3,FALSE)*VLOOKUP($S62,Frequenties[],3,FALSE)*VLOOKUP($A62,Locaties[],3,FALSE),0)</f>
        <v>0</v>
      </c>
      <c r="V62" s="111">
        <f>Ruimtestaat[[#This Row],[Uitvoeringen werkdagen]]*Ruimtestaat[[#This Row],[Oppervlak (netto)]]</f>
        <v>0</v>
      </c>
      <c r="W62" s="112">
        <f>IF(U62&gt;0,Ruimtestaat[[#This Row],[Prest. (m2 /jaar) werkdagen]]/Ruimtestaat[[#This Row],[Norm (m2/uur) werkdagen]],0)</f>
        <v>0</v>
      </c>
      <c r="X62" s="113">
        <f>Ruimtestaat[[#This Row],[uren / jaar werkdagen]]*Tariefsopbouw!$E$35</f>
        <v>0</v>
      </c>
      <c r="Y62" s="110"/>
      <c r="Z62" s="114">
        <f>IF(Ruimtestaat[[#This Row],[Frequentie weekend]]&gt;0,VALUE(LEFT(Y62,1))*R62,0)</f>
        <v>0</v>
      </c>
      <c r="AA62" s="110">
        <f>IF($Z62&gt;0,VLOOKUP($J62,Ruimtegroepen[],3,FALSE)*VLOOKUP($L62,Vloersoorten[],3,FALSE)*VLOOKUP($Y62,Frequenties[],3,FALSE)*VLOOKUP($A53,Locaties[],3,FALSE),0)</f>
        <v>0</v>
      </c>
      <c r="AB62" s="112">
        <f>Ruimtestaat[[#This Row],[Uitvoeringen weekend]]*Ruimtestaat[[#This Row],[Oppervlak (netto)]]</f>
        <v>0</v>
      </c>
      <c r="AC62" s="115">
        <f>IF(AB62&gt;0,Ruimtestaat[[#This Row],[Prest. (m2 /jaar) weekend]]/Ruimtestaat[[#This Row],[Norm (m2/uur) weekend]],0)</f>
        <v>0</v>
      </c>
      <c r="AD62" s="116">
        <f>Ruimtestaat[[#This Row],[uren / jaar weekend]]*Tariefsopbouw!$D$40</f>
        <v>0</v>
      </c>
      <c r="AE62" s="82">
        <f>Ruimtestaat[[#This Row],[Prest. (m2 /jaar) weekend]]+Ruimtestaat[[#This Row],[Prest. (m2 /jaar) werkdagen]]</f>
        <v>0</v>
      </c>
      <c r="AF62" s="82">
        <f>Ruimtestaat[[#This Row],[uren / jaar weekend]]+Ruimtestaat[[#This Row],[uren / jaar werkdagen]]</f>
        <v>0</v>
      </c>
      <c r="AG62" s="83">
        <f>Ruimtestaat[[#This Row],[kosten / jaar weekend]]+Ruimtestaat[[#This Row],[kosten / jaar werkdagen]]</f>
        <v>0</v>
      </c>
      <c r="AH62" s="117"/>
      <c r="HL62" s="87"/>
    </row>
    <row r="63" spans="1:220" ht="15" customHeight="1">
      <c r="A63" s="136">
        <v>1</v>
      </c>
      <c r="B63" s="27" t="str">
        <f>VLOOKUP(Ruimtestaat[[#This Row],[Code]],Locaties[#All],2,FALSE)</f>
        <v>Amstelveen College</v>
      </c>
      <c r="C63" s="27" t="str">
        <f>VLOOKUP(Ruimtestaat[[#This Row],[Code]],Locaties[#All],4,FALSE)</f>
        <v>Sportlaan 27</v>
      </c>
      <c r="D63" s="27" t="str">
        <f>VLOOKUP(Ruimtestaat[[#This Row],[Code]],Locaties[#All],5,FALSE)</f>
        <v>1185 TB</v>
      </c>
      <c r="E63" s="27" t="str">
        <f>VLOOKUP(Ruimtestaat[[#This Row],[Code]],Locaties[#All],6,FALSE)</f>
        <v>Amstelveen</v>
      </c>
      <c r="F63" s="74"/>
      <c r="G63" s="27" t="s">
        <v>456</v>
      </c>
      <c r="H63" s="35" t="s">
        <v>448</v>
      </c>
      <c r="I63" s="24" t="s">
        <v>450</v>
      </c>
      <c r="J63" s="27">
        <v>20</v>
      </c>
      <c r="K63" s="74" t="str">
        <f>VLOOKUP(J63,Ruimtegroepen[],2,FALSE)</f>
        <v>Niet in onderhoud</v>
      </c>
      <c r="M63" s="27"/>
      <c r="N63" s="107"/>
      <c r="O63" s="107">
        <v>3</v>
      </c>
      <c r="P63" s="118" t="str">
        <f>LEFT(VLOOKUP(Ruimtestaat[[#This Row],[Ruimte code]],Ruimtegroepen[#All],4,1),2)</f>
        <v/>
      </c>
      <c r="Q63" s="107"/>
      <c r="R63" s="108"/>
      <c r="S63" s="109"/>
      <c r="T63" s="110">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3" s="110">
        <f>IF(T63&gt;0,VLOOKUP($J63,Ruimtegroepen[],3,FALSE)*VLOOKUP($L63,Vloersoorten[],3,FALSE)*VLOOKUP($S63,Frequenties[],3,FALSE)*VLOOKUP($A63,Locaties[],3,FALSE),0)</f>
        <v>0</v>
      </c>
      <c r="V63" s="111">
        <f>Ruimtestaat[[#This Row],[Uitvoeringen werkdagen]]*Ruimtestaat[[#This Row],[Oppervlak (netto)]]</f>
        <v>0</v>
      </c>
      <c r="W63" s="112">
        <f>IF(U63&gt;0,Ruimtestaat[[#This Row],[Prest. (m2 /jaar) werkdagen]]/Ruimtestaat[[#This Row],[Norm (m2/uur) werkdagen]],0)</f>
        <v>0</v>
      </c>
      <c r="X63" s="113">
        <f>Ruimtestaat[[#This Row],[uren / jaar werkdagen]]*Tariefsopbouw!$E$35</f>
        <v>0</v>
      </c>
      <c r="Y63" s="110"/>
      <c r="Z63" s="114">
        <f>IF(Ruimtestaat[[#This Row],[Frequentie weekend]]&gt;0,VALUE(LEFT(Y63,1))*R63,0)</f>
        <v>0</v>
      </c>
      <c r="AA63" s="110">
        <f>IF($Z63&gt;0,VLOOKUP($J63,Ruimtegroepen[],3,FALSE)*VLOOKUP($L63,Vloersoorten[],3,FALSE)*VLOOKUP($Y63,Frequenties[],3,FALSE)*VLOOKUP($A54,Locaties[],3,FALSE),0)</f>
        <v>0</v>
      </c>
      <c r="AB63" s="112">
        <f>Ruimtestaat[[#This Row],[Uitvoeringen weekend]]*Ruimtestaat[[#This Row],[Oppervlak (netto)]]</f>
        <v>0</v>
      </c>
      <c r="AC63" s="115">
        <f>IF(AB63&gt;0,Ruimtestaat[[#This Row],[Prest. (m2 /jaar) weekend]]/Ruimtestaat[[#This Row],[Norm (m2/uur) weekend]],0)</f>
        <v>0</v>
      </c>
      <c r="AD63" s="116">
        <f>Ruimtestaat[[#This Row],[uren / jaar weekend]]*Tariefsopbouw!$D$40</f>
        <v>0</v>
      </c>
      <c r="AE63" s="82">
        <f>Ruimtestaat[[#This Row],[Prest. (m2 /jaar) weekend]]+Ruimtestaat[[#This Row],[Prest. (m2 /jaar) werkdagen]]</f>
        <v>0</v>
      </c>
      <c r="AF63" s="82">
        <f>Ruimtestaat[[#This Row],[uren / jaar weekend]]+Ruimtestaat[[#This Row],[uren / jaar werkdagen]]</f>
        <v>0</v>
      </c>
      <c r="AG63" s="83">
        <f>Ruimtestaat[[#This Row],[kosten / jaar weekend]]+Ruimtestaat[[#This Row],[kosten / jaar werkdagen]]</f>
        <v>0</v>
      </c>
      <c r="AH63" s="117"/>
      <c r="HL63" s="87"/>
    </row>
    <row r="64" spans="1:220" ht="15" customHeight="1">
      <c r="A64" s="136">
        <v>1</v>
      </c>
      <c r="B64" s="27" t="str">
        <f>VLOOKUP(Ruimtestaat[[#This Row],[Code]],Locaties[#All],2,FALSE)</f>
        <v>Amstelveen College</v>
      </c>
      <c r="C64" s="27" t="str">
        <f>VLOOKUP(Ruimtestaat[[#This Row],[Code]],Locaties[#All],4,FALSE)</f>
        <v>Sportlaan 27</v>
      </c>
      <c r="D64" s="27" t="str">
        <f>VLOOKUP(Ruimtestaat[[#This Row],[Code]],Locaties[#All],5,FALSE)</f>
        <v>1185 TB</v>
      </c>
      <c r="E64" s="27" t="str">
        <f>VLOOKUP(Ruimtestaat[[#This Row],[Code]],Locaties[#All],6,FALSE)</f>
        <v>Amstelveen</v>
      </c>
      <c r="F64" s="74"/>
      <c r="G64" s="27" t="s">
        <v>456</v>
      </c>
      <c r="H64" s="35" t="s">
        <v>389</v>
      </c>
      <c r="I64" s="24" t="s">
        <v>398</v>
      </c>
      <c r="J64" s="27">
        <v>20</v>
      </c>
      <c r="K64" s="74" t="str">
        <f>VLOOKUP(J64,Ruimtegroepen[],2,FALSE)</f>
        <v>Niet in onderhoud</v>
      </c>
      <c r="M64" s="27"/>
      <c r="N64" s="107"/>
      <c r="O64" s="107">
        <v>34</v>
      </c>
      <c r="P64" s="118" t="str">
        <f>LEFT(VLOOKUP(Ruimtestaat[[#This Row],[Ruimte code]],Ruimtegroepen[#All],4,1),2)</f>
        <v/>
      </c>
      <c r="Q64" s="107"/>
      <c r="R64" s="108"/>
      <c r="S64" s="109"/>
      <c r="T64" s="110">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 s="110">
        <f>IF(T64&gt;0,VLOOKUP($J64,Ruimtegroepen[],3,FALSE)*VLOOKUP($L64,Vloersoorten[],3,FALSE)*VLOOKUP($S64,Frequenties[],3,FALSE)*VLOOKUP($A64,Locaties[],3,FALSE),0)</f>
        <v>0</v>
      </c>
      <c r="V64" s="111">
        <f>Ruimtestaat[[#This Row],[Uitvoeringen werkdagen]]*Ruimtestaat[[#This Row],[Oppervlak (netto)]]</f>
        <v>0</v>
      </c>
      <c r="W64" s="112">
        <f>IF(U64&gt;0,Ruimtestaat[[#This Row],[Prest. (m2 /jaar) werkdagen]]/Ruimtestaat[[#This Row],[Norm (m2/uur) werkdagen]],0)</f>
        <v>0</v>
      </c>
      <c r="X64" s="113">
        <f>Ruimtestaat[[#This Row],[uren / jaar werkdagen]]*Tariefsopbouw!$E$35</f>
        <v>0</v>
      </c>
      <c r="Y64" s="110"/>
      <c r="Z64" s="114">
        <f>IF(Ruimtestaat[[#This Row],[Frequentie weekend]]&gt;0,VALUE(LEFT(Y64,1))*R64,0)</f>
        <v>0</v>
      </c>
      <c r="AA64" s="110">
        <f>IF($Z64&gt;0,VLOOKUP($J64,Ruimtegroepen[],3,FALSE)*VLOOKUP($L64,Vloersoorten[],3,FALSE)*VLOOKUP($Y64,Frequenties[],3,FALSE)*VLOOKUP($A55,Locaties[],3,FALSE),0)</f>
        <v>0</v>
      </c>
      <c r="AB64" s="112">
        <f>Ruimtestaat[[#This Row],[Uitvoeringen weekend]]*Ruimtestaat[[#This Row],[Oppervlak (netto)]]</f>
        <v>0</v>
      </c>
      <c r="AC64" s="115">
        <f>IF(AB64&gt;0,Ruimtestaat[[#This Row],[Prest. (m2 /jaar) weekend]]/Ruimtestaat[[#This Row],[Norm (m2/uur) weekend]],0)</f>
        <v>0</v>
      </c>
      <c r="AD64" s="116">
        <f>Ruimtestaat[[#This Row],[uren / jaar weekend]]*Tariefsopbouw!$D$40</f>
        <v>0</v>
      </c>
      <c r="AE64" s="82">
        <f>Ruimtestaat[[#This Row],[Prest. (m2 /jaar) weekend]]+Ruimtestaat[[#This Row],[Prest. (m2 /jaar) werkdagen]]</f>
        <v>0</v>
      </c>
      <c r="AF64" s="82">
        <f>Ruimtestaat[[#This Row],[uren / jaar weekend]]+Ruimtestaat[[#This Row],[uren / jaar werkdagen]]</f>
        <v>0</v>
      </c>
      <c r="AG64" s="83">
        <f>Ruimtestaat[[#This Row],[kosten / jaar weekend]]+Ruimtestaat[[#This Row],[kosten / jaar werkdagen]]</f>
        <v>0</v>
      </c>
      <c r="AH64" s="117"/>
      <c r="HL64" s="87"/>
    </row>
    <row r="65" spans="1:220" ht="15" customHeight="1">
      <c r="A65" s="136">
        <v>1</v>
      </c>
      <c r="B65" s="27" t="str">
        <f>VLOOKUP(Ruimtestaat[[#This Row],[Code]],Locaties[#All],2,FALSE)</f>
        <v>Amstelveen College</v>
      </c>
      <c r="C65" s="27" t="str">
        <f>VLOOKUP(Ruimtestaat[[#This Row],[Code]],Locaties[#All],4,FALSE)</f>
        <v>Sportlaan 27</v>
      </c>
      <c r="D65" s="27" t="str">
        <f>VLOOKUP(Ruimtestaat[[#This Row],[Code]],Locaties[#All],5,FALSE)</f>
        <v>1185 TB</v>
      </c>
      <c r="E65" s="27" t="str">
        <f>VLOOKUP(Ruimtestaat[[#This Row],[Code]],Locaties[#All],6,FALSE)</f>
        <v>Amstelveen</v>
      </c>
      <c r="F65" s="74"/>
      <c r="G65" s="27" t="s">
        <v>456</v>
      </c>
      <c r="H65" s="35" t="s">
        <v>480</v>
      </c>
      <c r="I65" s="24" t="s">
        <v>453</v>
      </c>
      <c r="J65" s="27">
        <v>7</v>
      </c>
      <c r="K65" s="74" t="str">
        <f>VLOOKUP(J65,Ruimtegroepen[],2,FALSE)</f>
        <v>Entree</v>
      </c>
      <c r="L65" s="27" t="s">
        <v>113</v>
      </c>
      <c r="M65" s="27" t="s">
        <v>379</v>
      </c>
      <c r="N65" s="107">
        <v>7</v>
      </c>
      <c r="O65" s="107"/>
      <c r="P65" s="118" t="str">
        <f>LEFT(VLOOKUP(Ruimtestaat[[#This Row],[Ruimte code]],Ruimtegroepen[#All],4,1),2)</f>
        <v xml:space="preserve">V </v>
      </c>
      <c r="Q65" s="107" t="s">
        <v>720</v>
      </c>
      <c r="R65" s="108">
        <v>42</v>
      </c>
      <c r="S65" s="109" t="s">
        <v>2</v>
      </c>
      <c r="T65" s="110">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65" s="110">
        <f>IF(T65&gt;0,VLOOKUP($J65,Ruimtegroepen[],3,FALSE)*VLOOKUP($L65,Vloersoorten[],3,FALSE)*VLOOKUP($S65,Frequenties[],3,FALSE)*VLOOKUP($A65,Locaties[],3,FALSE),0)</f>
        <v>0</v>
      </c>
      <c r="V65" s="111">
        <f>Ruimtestaat[[#This Row],[Uitvoeringen werkdagen]]*Ruimtestaat[[#This Row],[Oppervlak (netto)]]</f>
        <v>1470</v>
      </c>
      <c r="W65" s="112">
        <f>IF(U65&gt;0,Ruimtestaat[[#This Row],[Prest. (m2 /jaar) werkdagen]]/Ruimtestaat[[#This Row],[Norm (m2/uur) werkdagen]],0)</f>
        <v>0</v>
      </c>
      <c r="X65" s="113">
        <f>Ruimtestaat[[#This Row],[uren / jaar werkdagen]]*Tariefsopbouw!$E$35</f>
        <v>0</v>
      </c>
      <c r="Y65" s="110"/>
      <c r="Z65" s="114">
        <f>IF(Ruimtestaat[[#This Row],[Frequentie weekend]]&gt;0,VALUE(LEFT(Y65,1))*R65,0)</f>
        <v>0</v>
      </c>
      <c r="AA65" s="110">
        <f>IF($Z65&gt;0,VLOOKUP($J65,Ruimtegroepen[],3,FALSE)*VLOOKUP($L65,Vloersoorten[],3,FALSE)*VLOOKUP($Y65,Frequenties[],3,FALSE)*VLOOKUP($A56,Locaties[],3,FALSE),0)</f>
        <v>0</v>
      </c>
      <c r="AB65" s="112">
        <f>Ruimtestaat[[#This Row],[Uitvoeringen weekend]]*Ruimtestaat[[#This Row],[Oppervlak (netto)]]</f>
        <v>0</v>
      </c>
      <c r="AC65" s="115">
        <f>IF(AB65&gt;0,Ruimtestaat[[#This Row],[Prest. (m2 /jaar) weekend]]/Ruimtestaat[[#This Row],[Norm (m2/uur) weekend]],0)</f>
        <v>0</v>
      </c>
      <c r="AD65" s="116">
        <f>Ruimtestaat[[#This Row],[uren / jaar weekend]]*Tariefsopbouw!$D$40</f>
        <v>0</v>
      </c>
      <c r="AE65" s="82">
        <f>Ruimtestaat[[#This Row],[Prest. (m2 /jaar) weekend]]+Ruimtestaat[[#This Row],[Prest. (m2 /jaar) werkdagen]]</f>
        <v>1470</v>
      </c>
      <c r="AF65" s="82">
        <f>Ruimtestaat[[#This Row],[uren / jaar weekend]]+Ruimtestaat[[#This Row],[uren / jaar werkdagen]]</f>
        <v>0</v>
      </c>
      <c r="AG65" s="83">
        <f>Ruimtestaat[[#This Row],[kosten / jaar weekend]]+Ruimtestaat[[#This Row],[kosten / jaar werkdagen]]</f>
        <v>0</v>
      </c>
      <c r="AH65" s="117"/>
      <c r="HL65" s="87"/>
    </row>
    <row r="66" spans="1:220" ht="15" customHeight="1">
      <c r="A66" s="136">
        <v>1</v>
      </c>
      <c r="B66" s="27" t="str">
        <f>VLOOKUP(Ruimtestaat[[#This Row],[Code]],Locaties[#All],2,FALSE)</f>
        <v>Amstelveen College</v>
      </c>
      <c r="C66" s="27" t="str">
        <f>VLOOKUP(Ruimtestaat[[#This Row],[Code]],Locaties[#All],4,FALSE)</f>
        <v>Sportlaan 27</v>
      </c>
      <c r="D66" s="27" t="str">
        <f>VLOOKUP(Ruimtestaat[[#This Row],[Code]],Locaties[#All],5,FALSE)</f>
        <v>1185 TB</v>
      </c>
      <c r="E66" s="27" t="str">
        <f>VLOOKUP(Ruimtestaat[[#This Row],[Code]],Locaties[#All],6,FALSE)</f>
        <v>Amstelveen</v>
      </c>
      <c r="F66" s="74"/>
      <c r="G66" s="27" t="s">
        <v>456</v>
      </c>
      <c r="H66" s="35" t="s">
        <v>481</v>
      </c>
      <c r="I66" s="24" t="s">
        <v>482</v>
      </c>
      <c r="J66" s="27">
        <v>20</v>
      </c>
      <c r="K66" s="74" t="str">
        <f>VLOOKUP(J66,Ruimtegroepen[],2,FALSE)</f>
        <v>Niet in onderhoud</v>
      </c>
      <c r="M66" s="27"/>
      <c r="N66" s="107"/>
      <c r="O66" s="107">
        <v>25</v>
      </c>
      <c r="P66" s="118" t="str">
        <f>LEFT(VLOOKUP(Ruimtestaat[[#This Row],[Ruimte code]],Ruimtegroepen[#All],4,1),2)</f>
        <v/>
      </c>
      <c r="Q66" s="107"/>
      <c r="R66" s="108"/>
      <c r="S66" s="109"/>
      <c r="T66" s="110">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 s="110">
        <f>IF(T66&gt;0,VLOOKUP($J66,Ruimtegroepen[],3,FALSE)*VLOOKUP($L66,Vloersoorten[],3,FALSE)*VLOOKUP($S66,Frequenties[],3,FALSE)*VLOOKUP($A66,Locaties[],3,FALSE),0)</f>
        <v>0</v>
      </c>
      <c r="V66" s="111">
        <f>Ruimtestaat[[#This Row],[Uitvoeringen werkdagen]]*Ruimtestaat[[#This Row],[Oppervlak (netto)]]</f>
        <v>0</v>
      </c>
      <c r="W66" s="112">
        <f>IF(U66&gt;0,Ruimtestaat[[#This Row],[Prest. (m2 /jaar) werkdagen]]/Ruimtestaat[[#This Row],[Norm (m2/uur) werkdagen]],0)</f>
        <v>0</v>
      </c>
      <c r="X66" s="113">
        <f>Ruimtestaat[[#This Row],[uren / jaar werkdagen]]*Tariefsopbouw!$E$35</f>
        <v>0</v>
      </c>
      <c r="Y66" s="110"/>
      <c r="Z66" s="114">
        <f>IF(Ruimtestaat[[#This Row],[Frequentie weekend]]&gt;0,VALUE(LEFT(Y66,1))*R66,0)</f>
        <v>0</v>
      </c>
      <c r="AA66" s="110">
        <f>IF($Z66&gt;0,VLOOKUP($J66,Ruimtegroepen[],3,FALSE)*VLOOKUP($L66,Vloersoorten[],3,FALSE)*VLOOKUP($Y66,Frequenties[],3,FALSE)*VLOOKUP($A62,Locaties[],3,FALSE),0)</f>
        <v>0</v>
      </c>
      <c r="AB66" s="112">
        <f>Ruimtestaat[[#This Row],[Uitvoeringen weekend]]*Ruimtestaat[[#This Row],[Oppervlak (netto)]]</f>
        <v>0</v>
      </c>
      <c r="AC66" s="115">
        <f>IF(AB66&gt;0,Ruimtestaat[[#This Row],[Prest. (m2 /jaar) weekend]]/Ruimtestaat[[#This Row],[Norm (m2/uur) weekend]],0)</f>
        <v>0</v>
      </c>
      <c r="AD66" s="116">
        <f>Ruimtestaat[[#This Row],[uren / jaar weekend]]*Tariefsopbouw!$D$40</f>
        <v>0</v>
      </c>
      <c r="AE66" s="82">
        <f>Ruimtestaat[[#This Row],[Prest. (m2 /jaar) weekend]]+Ruimtestaat[[#This Row],[Prest. (m2 /jaar) werkdagen]]</f>
        <v>0</v>
      </c>
      <c r="AF66" s="82">
        <f>Ruimtestaat[[#This Row],[uren / jaar weekend]]+Ruimtestaat[[#This Row],[uren / jaar werkdagen]]</f>
        <v>0</v>
      </c>
      <c r="AG66" s="83">
        <f>Ruimtestaat[[#This Row],[kosten / jaar weekend]]+Ruimtestaat[[#This Row],[kosten / jaar werkdagen]]</f>
        <v>0</v>
      </c>
      <c r="AH66" s="117"/>
      <c r="HL66" s="87"/>
    </row>
    <row r="67" spans="1:220" ht="15" customHeight="1">
      <c r="A67" s="136">
        <v>1</v>
      </c>
      <c r="B67" s="27" t="str">
        <f>VLOOKUP(Ruimtestaat[[#This Row],[Code]],Locaties[#All],2,FALSE)</f>
        <v>Amstelveen College</v>
      </c>
      <c r="C67" s="27" t="str">
        <f>VLOOKUP(Ruimtestaat[[#This Row],[Code]],Locaties[#All],4,FALSE)</f>
        <v>Sportlaan 27</v>
      </c>
      <c r="D67" s="27" t="str">
        <f>VLOOKUP(Ruimtestaat[[#This Row],[Code]],Locaties[#All],5,FALSE)</f>
        <v>1185 TB</v>
      </c>
      <c r="E67" s="27" t="str">
        <f>VLOOKUP(Ruimtestaat[[#This Row],[Code]],Locaties[#All],6,FALSE)</f>
        <v>Amstelveen</v>
      </c>
      <c r="F67" s="74"/>
      <c r="G67" s="27" t="s">
        <v>456</v>
      </c>
      <c r="H67" s="35" t="s">
        <v>483</v>
      </c>
      <c r="I67" s="24" t="s">
        <v>484</v>
      </c>
      <c r="J67" s="27">
        <v>6</v>
      </c>
      <c r="K67" s="74" t="str">
        <f>VLOOKUP(J67,Ruimtegroepen[],2,FALSE)</f>
        <v>Gangen/hallen</v>
      </c>
      <c r="L67" s="27" t="s">
        <v>114</v>
      </c>
      <c r="M67" s="27" t="s">
        <v>139</v>
      </c>
      <c r="N67" s="107">
        <v>34</v>
      </c>
      <c r="O67" s="107"/>
      <c r="P67" s="118" t="str">
        <f>LEFT(VLOOKUP(Ruimtestaat[[#This Row],[Ruimte code]],Ruimtegroepen[#All],4,1),2)</f>
        <v xml:space="preserve">V </v>
      </c>
      <c r="Q67" s="107" t="s">
        <v>720</v>
      </c>
      <c r="R67" s="108">
        <v>42</v>
      </c>
      <c r="S67" s="109" t="s">
        <v>2</v>
      </c>
      <c r="T67" s="110">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67" s="110">
        <f>IF(T67&gt;0,VLOOKUP($J67,Ruimtegroepen[],3,FALSE)*VLOOKUP($L67,Vloersoorten[],3,FALSE)*VLOOKUP($S67,Frequenties[],3,FALSE)*VLOOKUP($A67,Locaties[],3,FALSE),0)</f>
        <v>0</v>
      </c>
      <c r="V67" s="111">
        <f>Ruimtestaat[[#This Row],[Uitvoeringen werkdagen]]*Ruimtestaat[[#This Row],[Oppervlak (netto)]]</f>
        <v>7140</v>
      </c>
      <c r="W67" s="112">
        <f>IF(U67&gt;0,Ruimtestaat[[#This Row],[Prest. (m2 /jaar) werkdagen]]/Ruimtestaat[[#This Row],[Norm (m2/uur) werkdagen]],0)</f>
        <v>0</v>
      </c>
      <c r="X67" s="113">
        <f>Ruimtestaat[[#This Row],[uren / jaar werkdagen]]*Tariefsopbouw!$E$35</f>
        <v>0</v>
      </c>
      <c r="Y67" s="110"/>
      <c r="Z67" s="114">
        <f>IF(Ruimtestaat[[#This Row],[Frequentie weekend]]&gt;0,VALUE(LEFT(Y67,1))*R67,0)</f>
        <v>0</v>
      </c>
      <c r="AA67" s="110">
        <f>IF($Z67&gt;0,VLOOKUP($J67,Ruimtegroepen[],3,FALSE)*VLOOKUP($L67,Vloersoorten[],3,FALSE)*VLOOKUP($Y67,Frequenties[],3,FALSE)*VLOOKUP($A63,Locaties[],3,FALSE),0)</f>
        <v>0</v>
      </c>
      <c r="AB67" s="112">
        <f>Ruimtestaat[[#This Row],[Uitvoeringen weekend]]*Ruimtestaat[[#This Row],[Oppervlak (netto)]]</f>
        <v>0</v>
      </c>
      <c r="AC67" s="115">
        <f>IF(AB67&gt;0,Ruimtestaat[[#This Row],[Prest. (m2 /jaar) weekend]]/Ruimtestaat[[#This Row],[Norm (m2/uur) weekend]],0)</f>
        <v>0</v>
      </c>
      <c r="AD67" s="116">
        <f>Ruimtestaat[[#This Row],[uren / jaar weekend]]*Tariefsopbouw!$D$40</f>
        <v>0</v>
      </c>
      <c r="AE67" s="82">
        <f>Ruimtestaat[[#This Row],[Prest. (m2 /jaar) weekend]]+Ruimtestaat[[#This Row],[Prest. (m2 /jaar) werkdagen]]</f>
        <v>7140</v>
      </c>
      <c r="AF67" s="82">
        <f>Ruimtestaat[[#This Row],[uren / jaar weekend]]+Ruimtestaat[[#This Row],[uren / jaar werkdagen]]</f>
        <v>0</v>
      </c>
      <c r="AG67" s="83">
        <f>Ruimtestaat[[#This Row],[kosten / jaar weekend]]+Ruimtestaat[[#This Row],[kosten / jaar werkdagen]]</f>
        <v>0</v>
      </c>
      <c r="AH67" s="117"/>
      <c r="HL67" s="87"/>
    </row>
    <row r="68" spans="1:220" ht="15" customHeight="1">
      <c r="A68" s="136">
        <v>1</v>
      </c>
      <c r="B68" s="27" t="str">
        <f>VLOOKUP(Ruimtestaat[[#This Row],[Code]],Locaties[#All],2,FALSE)</f>
        <v>Amstelveen College</v>
      </c>
      <c r="C68" s="27" t="str">
        <f>VLOOKUP(Ruimtestaat[[#This Row],[Code]],Locaties[#All],4,FALSE)</f>
        <v>Sportlaan 27</v>
      </c>
      <c r="D68" s="27" t="str">
        <f>VLOOKUP(Ruimtestaat[[#This Row],[Code]],Locaties[#All],5,FALSE)</f>
        <v>1185 TB</v>
      </c>
      <c r="E68" s="27" t="str">
        <f>VLOOKUP(Ruimtestaat[[#This Row],[Code]],Locaties[#All],6,FALSE)</f>
        <v>Amstelveen</v>
      </c>
      <c r="F68" s="74"/>
      <c r="G68" s="27" t="s">
        <v>456</v>
      </c>
      <c r="H68" s="35" t="s">
        <v>485</v>
      </c>
      <c r="I68" s="24" t="s">
        <v>368</v>
      </c>
      <c r="J68" s="27">
        <v>16</v>
      </c>
      <c r="K68" s="74" t="str">
        <f>VLOOKUP(J68,Ruimtegroepen[],2,FALSE)</f>
        <v>Leslokalen theorie</v>
      </c>
      <c r="L68" s="27" t="s">
        <v>114</v>
      </c>
      <c r="M68" s="27" t="s">
        <v>139</v>
      </c>
      <c r="N68" s="107">
        <v>57</v>
      </c>
      <c r="O68" s="107"/>
      <c r="P68" s="118" t="str">
        <f>LEFT(VLOOKUP(Ruimtestaat[[#This Row],[Ruimte code]],Ruimtegroepen[#All],4,1),2)</f>
        <v xml:space="preserve">L </v>
      </c>
      <c r="Q68" s="107" t="s">
        <v>720</v>
      </c>
      <c r="R68" s="108">
        <v>40</v>
      </c>
      <c r="S68" s="109" t="s">
        <v>18</v>
      </c>
      <c r="T68" s="110">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68" s="110">
        <f>IF(T68&gt;0,VLOOKUP($J68,Ruimtegroepen[],3,FALSE)*VLOOKUP($L68,Vloersoorten[],3,FALSE)*VLOOKUP($S68,Frequenties[],3,FALSE)*VLOOKUP($A68,Locaties[],3,FALSE),0)</f>
        <v>0</v>
      </c>
      <c r="V68" s="111">
        <f>Ruimtestaat[[#This Row],[Uitvoeringen werkdagen]]*Ruimtestaat[[#This Row],[Oppervlak (netto)]]</f>
        <v>6840</v>
      </c>
      <c r="W68" s="112">
        <f>IF(U68&gt;0,Ruimtestaat[[#This Row],[Prest. (m2 /jaar) werkdagen]]/Ruimtestaat[[#This Row],[Norm (m2/uur) werkdagen]],0)</f>
        <v>0</v>
      </c>
      <c r="X68" s="113">
        <f>Ruimtestaat[[#This Row],[uren / jaar werkdagen]]*Tariefsopbouw!$E$35</f>
        <v>0</v>
      </c>
      <c r="Y68" s="110"/>
      <c r="Z68" s="114">
        <f>IF(Ruimtestaat[[#This Row],[Frequentie weekend]]&gt;0,VALUE(LEFT(Y68,1))*R68,0)</f>
        <v>0</v>
      </c>
      <c r="AA68" s="110">
        <f>IF($Z68&gt;0,VLOOKUP($J68,Ruimtegroepen[],3,FALSE)*VLOOKUP($L68,Vloersoorten[],3,FALSE)*VLOOKUP($Y68,Frequenties[],3,FALSE)*VLOOKUP($A64,Locaties[],3,FALSE),0)</f>
        <v>0</v>
      </c>
      <c r="AB68" s="112">
        <f>Ruimtestaat[[#This Row],[Uitvoeringen weekend]]*Ruimtestaat[[#This Row],[Oppervlak (netto)]]</f>
        <v>0</v>
      </c>
      <c r="AC68" s="115">
        <f>IF(AB68&gt;0,Ruimtestaat[[#This Row],[Prest. (m2 /jaar) weekend]]/Ruimtestaat[[#This Row],[Norm (m2/uur) weekend]],0)</f>
        <v>0</v>
      </c>
      <c r="AD68" s="116">
        <f>Ruimtestaat[[#This Row],[uren / jaar weekend]]*Tariefsopbouw!$D$40</f>
        <v>0</v>
      </c>
      <c r="AE68" s="82">
        <f>Ruimtestaat[[#This Row],[Prest. (m2 /jaar) weekend]]+Ruimtestaat[[#This Row],[Prest. (m2 /jaar) werkdagen]]</f>
        <v>6840</v>
      </c>
      <c r="AF68" s="82">
        <f>Ruimtestaat[[#This Row],[uren / jaar weekend]]+Ruimtestaat[[#This Row],[uren / jaar werkdagen]]</f>
        <v>0</v>
      </c>
      <c r="AG68" s="83">
        <f>Ruimtestaat[[#This Row],[kosten / jaar weekend]]+Ruimtestaat[[#This Row],[kosten / jaar werkdagen]]</f>
        <v>0</v>
      </c>
      <c r="AH68" s="117"/>
      <c r="HL68" s="87"/>
    </row>
    <row r="69" spans="1:220" ht="15" customHeight="1">
      <c r="A69" s="136">
        <v>1</v>
      </c>
      <c r="B69" s="27" t="str">
        <f>VLOOKUP(Ruimtestaat[[#This Row],[Code]],Locaties[#All],2,FALSE)</f>
        <v>Amstelveen College</v>
      </c>
      <c r="C69" s="27" t="str">
        <f>VLOOKUP(Ruimtestaat[[#This Row],[Code]],Locaties[#All],4,FALSE)</f>
        <v>Sportlaan 27</v>
      </c>
      <c r="D69" s="27" t="str">
        <f>VLOOKUP(Ruimtestaat[[#This Row],[Code]],Locaties[#All],5,FALSE)</f>
        <v>1185 TB</v>
      </c>
      <c r="E69" s="27" t="str">
        <f>VLOOKUP(Ruimtestaat[[#This Row],[Code]],Locaties[#All],6,FALSE)</f>
        <v>Amstelveen</v>
      </c>
      <c r="F69" s="74"/>
      <c r="G69" s="27" t="s">
        <v>456</v>
      </c>
      <c r="H69" s="35" t="s">
        <v>486</v>
      </c>
      <c r="I69" s="24" t="s">
        <v>368</v>
      </c>
      <c r="J69" s="27">
        <v>16</v>
      </c>
      <c r="K69" s="74" t="str">
        <f>VLOOKUP(J69,Ruimtegroepen[],2,FALSE)</f>
        <v>Leslokalen theorie</v>
      </c>
      <c r="L69" s="27" t="s">
        <v>114</v>
      </c>
      <c r="M69" s="27" t="s">
        <v>139</v>
      </c>
      <c r="N69" s="107">
        <v>61</v>
      </c>
      <c r="O69" s="107"/>
      <c r="P69" s="118" t="str">
        <f>LEFT(VLOOKUP(Ruimtestaat[[#This Row],[Ruimte code]],Ruimtegroepen[#All],4,1),2)</f>
        <v xml:space="preserve">L </v>
      </c>
      <c r="Q69" s="107" t="s">
        <v>720</v>
      </c>
      <c r="R69" s="108">
        <v>40</v>
      </c>
      <c r="S69" s="109" t="s">
        <v>18</v>
      </c>
      <c r="T69" s="110">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69" s="110">
        <f>IF(T69&gt;0,VLOOKUP($J69,Ruimtegroepen[],3,FALSE)*VLOOKUP($L69,Vloersoorten[],3,FALSE)*VLOOKUP($S69,Frequenties[],3,FALSE)*VLOOKUP($A69,Locaties[],3,FALSE),0)</f>
        <v>0</v>
      </c>
      <c r="V69" s="111">
        <f>Ruimtestaat[[#This Row],[Uitvoeringen werkdagen]]*Ruimtestaat[[#This Row],[Oppervlak (netto)]]</f>
        <v>7320</v>
      </c>
      <c r="W69" s="112">
        <f>IF(U69&gt;0,Ruimtestaat[[#This Row],[Prest. (m2 /jaar) werkdagen]]/Ruimtestaat[[#This Row],[Norm (m2/uur) werkdagen]],0)</f>
        <v>0</v>
      </c>
      <c r="X69" s="113">
        <f>Ruimtestaat[[#This Row],[uren / jaar werkdagen]]*Tariefsopbouw!$E$35</f>
        <v>0</v>
      </c>
      <c r="Y69" s="110"/>
      <c r="Z69" s="114">
        <f>IF(Ruimtestaat[[#This Row],[Frequentie weekend]]&gt;0,VALUE(LEFT(Y69,1))*R69,0)</f>
        <v>0</v>
      </c>
      <c r="AA69" s="110">
        <f>IF($Z69&gt;0,VLOOKUP($J69,Ruimtegroepen[],3,FALSE)*VLOOKUP($L69,Vloersoorten[],3,FALSE)*VLOOKUP($Y69,Frequenties[],3,FALSE)*VLOOKUP($A65,Locaties[],3,FALSE),0)</f>
        <v>0</v>
      </c>
      <c r="AB69" s="112">
        <f>Ruimtestaat[[#This Row],[Uitvoeringen weekend]]*Ruimtestaat[[#This Row],[Oppervlak (netto)]]</f>
        <v>0</v>
      </c>
      <c r="AC69" s="115">
        <f>IF(AB69&gt;0,Ruimtestaat[[#This Row],[Prest. (m2 /jaar) weekend]]/Ruimtestaat[[#This Row],[Norm (m2/uur) weekend]],0)</f>
        <v>0</v>
      </c>
      <c r="AD69" s="116">
        <f>Ruimtestaat[[#This Row],[uren / jaar weekend]]*Tariefsopbouw!$D$40</f>
        <v>0</v>
      </c>
      <c r="AE69" s="82">
        <f>Ruimtestaat[[#This Row],[Prest. (m2 /jaar) weekend]]+Ruimtestaat[[#This Row],[Prest. (m2 /jaar) werkdagen]]</f>
        <v>7320</v>
      </c>
      <c r="AF69" s="82">
        <f>Ruimtestaat[[#This Row],[uren / jaar weekend]]+Ruimtestaat[[#This Row],[uren / jaar werkdagen]]</f>
        <v>0</v>
      </c>
      <c r="AG69" s="83">
        <f>Ruimtestaat[[#This Row],[kosten / jaar weekend]]+Ruimtestaat[[#This Row],[kosten / jaar werkdagen]]</f>
        <v>0</v>
      </c>
      <c r="AH69" s="117"/>
      <c r="HL69" s="87"/>
    </row>
    <row r="70" spans="1:220" ht="15" customHeight="1">
      <c r="A70" s="136">
        <v>1</v>
      </c>
      <c r="B70" s="27" t="str">
        <f>VLOOKUP(Ruimtestaat[[#This Row],[Code]],Locaties[#All],2,FALSE)</f>
        <v>Amstelveen College</v>
      </c>
      <c r="C70" s="27" t="str">
        <f>VLOOKUP(Ruimtestaat[[#This Row],[Code]],Locaties[#All],4,FALSE)</f>
        <v>Sportlaan 27</v>
      </c>
      <c r="D70" s="27" t="str">
        <f>VLOOKUP(Ruimtestaat[[#This Row],[Code]],Locaties[#All],5,FALSE)</f>
        <v>1185 TB</v>
      </c>
      <c r="E70" s="27" t="str">
        <f>VLOOKUP(Ruimtestaat[[#This Row],[Code]],Locaties[#All],6,FALSE)</f>
        <v>Amstelveen</v>
      </c>
      <c r="F70" s="74"/>
      <c r="G70" s="27" t="s">
        <v>456</v>
      </c>
      <c r="H70" s="35" t="s">
        <v>487</v>
      </c>
      <c r="I70" s="24" t="s">
        <v>368</v>
      </c>
      <c r="J70" s="27">
        <v>16</v>
      </c>
      <c r="K70" s="74" t="str">
        <f>VLOOKUP(J70,Ruimtegroepen[],2,FALSE)</f>
        <v>Leslokalen theorie</v>
      </c>
      <c r="L70" s="27" t="s">
        <v>114</v>
      </c>
      <c r="M70" s="27" t="s">
        <v>139</v>
      </c>
      <c r="N70" s="107">
        <v>62</v>
      </c>
      <c r="O70" s="107"/>
      <c r="P70" s="118" t="str">
        <f>LEFT(VLOOKUP(Ruimtestaat[[#This Row],[Ruimte code]],Ruimtegroepen[#All],4,1),2)</f>
        <v xml:space="preserve">L </v>
      </c>
      <c r="Q70" s="107" t="s">
        <v>720</v>
      </c>
      <c r="R70" s="108">
        <v>40</v>
      </c>
      <c r="S70" s="109" t="s">
        <v>18</v>
      </c>
      <c r="T70" s="110">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0" s="110">
        <f>IF(T70&gt;0,VLOOKUP($J70,Ruimtegroepen[],3,FALSE)*VLOOKUP($L70,Vloersoorten[],3,FALSE)*VLOOKUP($S70,Frequenties[],3,FALSE)*VLOOKUP($A70,Locaties[],3,FALSE),0)</f>
        <v>0</v>
      </c>
      <c r="V70" s="111">
        <f>Ruimtestaat[[#This Row],[Uitvoeringen werkdagen]]*Ruimtestaat[[#This Row],[Oppervlak (netto)]]</f>
        <v>7440</v>
      </c>
      <c r="W70" s="112">
        <f>IF(U70&gt;0,Ruimtestaat[[#This Row],[Prest. (m2 /jaar) werkdagen]]/Ruimtestaat[[#This Row],[Norm (m2/uur) werkdagen]],0)</f>
        <v>0</v>
      </c>
      <c r="X70" s="113">
        <f>Ruimtestaat[[#This Row],[uren / jaar werkdagen]]*Tariefsopbouw!$E$35</f>
        <v>0</v>
      </c>
      <c r="Y70" s="110"/>
      <c r="Z70" s="114">
        <f>IF(Ruimtestaat[[#This Row],[Frequentie weekend]]&gt;0,VALUE(LEFT(Y70,1))*R70,0)</f>
        <v>0</v>
      </c>
      <c r="AA70" s="110">
        <f>IF($Z70&gt;0,VLOOKUP($J70,Ruimtegroepen[],3,FALSE)*VLOOKUP($L70,Vloersoorten[],3,FALSE)*VLOOKUP($Y70,Frequenties[],3,FALSE)*VLOOKUP($A66,Locaties[],3,FALSE),0)</f>
        <v>0</v>
      </c>
      <c r="AB70" s="112">
        <f>Ruimtestaat[[#This Row],[Uitvoeringen weekend]]*Ruimtestaat[[#This Row],[Oppervlak (netto)]]</f>
        <v>0</v>
      </c>
      <c r="AC70" s="115">
        <f>IF(AB70&gt;0,Ruimtestaat[[#This Row],[Prest. (m2 /jaar) weekend]]/Ruimtestaat[[#This Row],[Norm (m2/uur) weekend]],0)</f>
        <v>0</v>
      </c>
      <c r="AD70" s="116">
        <f>Ruimtestaat[[#This Row],[uren / jaar weekend]]*Tariefsopbouw!$D$40</f>
        <v>0</v>
      </c>
      <c r="AE70" s="82">
        <f>Ruimtestaat[[#This Row],[Prest. (m2 /jaar) weekend]]+Ruimtestaat[[#This Row],[Prest. (m2 /jaar) werkdagen]]</f>
        <v>7440</v>
      </c>
      <c r="AF70" s="82">
        <f>Ruimtestaat[[#This Row],[uren / jaar weekend]]+Ruimtestaat[[#This Row],[uren / jaar werkdagen]]</f>
        <v>0</v>
      </c>
      <c r="AG70" s="83">
        <f>Ruimtestaat[[#This Row],[kosten / jaar weekend]]+Ruimtestaat[[#This Row],[kosten / jaar werkdagen]]</f>
        <v>0</v>
      </c>
      <c r="AH70" s="117"/>
      <c r="HL70" s="87"/>
    </row>
    <row r="71" spans="1:220" ht="15" customHeight="1">
      <c r="A71" s="136">
        <v>1</v>
      </c>
      <c r="B71" s="27" t="str">
        <f>VLOOKUP(Ruimtestaat[[#This Row],[Code]],Locaties[#All],2,FALSE)</f>
        <v>Amstelveen College</v>
      </c>
      <c r="C71" s="27" t="str">
        <f>VLOOKUP(Ruimtestaat[[#This Row],[Code]],Locaties[#All],4,FALSE)</f>
        <v>Sportlaan 27</v>
      </c>
      <c r="D71" s="27" t="str">
        <f>VLOOKUP(Ruimtestaat[[#This Row],[Code]],Locaties[#All],5,FALSE)</f>
        <v>1185 TB</v>
      </c>
      <c r="E71" s="27" t="str">
        <f>VLOOKUP(Ruimtestaat[[#This Row],[Code]],Locaties[#All],6,FALSE)</f>
        <v>Amstelveen</v>
      </c>
      <c r="F71" s="74"/>
      <c r="G71" s="27" t="s">
        <v>456</v>
      </c>
      <c r="H71" s="35" t="s">
        <v>488</v>
      </c>
      <c r="I71" s="24" t="s">
        <v>369</v>
      </c>
      <c r="J71" s="27">
        <v>6</v>
      </c>
      <c r="K71" s="74" t="str">
        <f>VLOOKUP(J71,Ruimtegroepen[],2,FALSE)</f>
        <v>Gangen/hallen</v>
      </c>
      <c r="L71" s="27" t="s">
        <v>114</v>
      </c>
      <c r="M71" s="27" t="s">
        <v>139</v>
      </c>
      <c r="N71" s="107">
        <v>25</v>
      </c>
      <c r="O71" s="107"/>
      <c r="P71" s="118" t="str">
        <f>LEFT(VLOOKUP(Ruimtestaat[[#This Row],[Ruimte code]],Ruimtegroepen[#All],4,1),2)</f>
        <v xml:space="preserve">V </v>
      </c>
      <c r="Q71" s="107" t="s">
        <v>720</v>
      </c>
      <c r="R71" s="108">
        <v>42</v>
      </c>
      <c r="S71" s="109" t="s">
        <v>2</v>
      </c>
      <c r="T71" s="110">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71" s="110">
        <f>IF(T71&gt;0,VLOOKUP($J71,Ruimtegroepen[],3,FALSE)*VLOOKUP($L71,Vloersoorten[],3,FALSE)*VLOOKUP($S71,Frequenties[],3,FALSE)*VLOOKUP($A71,Locaties[],3,FALSE),0)</f>
        <v>0</v>
      </c>
      <c r="V71" s="111">
        <f>Ruimtestaat[[#This Row],[Uitvoeringen werkdagen]]*Ruimtestaat[[#This Row],[Oppervlak (netto)]]</f>
        <v>5250</v>
      </c>
      <c r="W71" s="112">
        <f>IF(U71&gt;0,Ruimtestaat[[#This Row],[Prest. (m2 /jaar) werkdagen]]/Ruimtestaat[[#This Row],[Norm (m2/uur) werkdagen]],0)</f>
        <v>0</v>
      </c>
      <c r="X71" s="113">
        <f>Ruimtestaat[[#This Row],[uren / jaar werkdagen]]*Tariefsopbouw!$E$35</f>
        <v>0</v>
      </c>
      <c r="Y71" s="110"/>
      <c r="Z71" s="114">
        <f>IF(Ruimtestaat[[#This Row],[Frequentie weekend]]&gt;0,VALUE(LEFT(Y71,1))*R71,0)</f>
        <v>0</v>
      </c>
      <c r="AA71" s="110">
        <f>IF($Z71&gt;0,VLOOKUP($J71,Ruimtegroepen[],3,FALSE)*VLOOKUP($L71,Vloersoorten[],3,FALSE)*VLOOKUP($Y71,Frequenties[],3,FALSE)*VLOOKUP($A67,Locaties[],3,FALSE),0)</f>
        <v>0</v>
      </c>
      <c r="AB71" s="112">
        <f>Ruimtestaat[[#This Row],[Uitvoeringen weekend]]*Ruimtestaat[[#This Row],[Oppervlak (netto)]]</f>
        <v>0</v>
      </c>
      <c r="AC71" s="115">
        <f>IF(AB71&gt;0,Ruimtestaat[[#This Row],[Prest. (m2 /jaar) weekend]]/Ruimtestaat[[#This Row],[Norm (m2/uur) weekend]],0)</f>
        <v>0</v>
      </c>
      <c r="AD71" s="116">
        <f>Ruimtestaat[[#This Row],[uren / jaar weekend]]*Tariefsopbouw!$D$40</f>
        <v>0</v>
      </c>
      <c r="AE71" s="82">
        <f>Ruimtestaat[[#This Row],[Prest. (m2 /jaar) weekend]]+Ruimtestaat[[#This Row],[Prest. (m2 /jaar) werkdagen]]</f>
        <v>5250</v>
      </c>
      <c r="AF71" s="82">
        <f>Ruimtestaat[[#This Row],[uren / jaar weekend]]+Ruimtestaat[[#This Row],[uren / jaar werkdagen]]</f>
        <v>0</v>
      </c>
      <c r="AG71" s="83">
        <f>Ruimtestaat[[#This Row],[kosten / jaar weekend]]+Ruimtestaat[[#This Row],[kosten / jaar werkdagen]]</f>
        <v>0</v>
      </c>
      <c r="AH71" s="117"/>
      <c r="HL71" s="87"/>
    </row>
    <row r="72" spans="1:220" ht="15" customHeight="1">
      <c r="A72" s="136">
        <v>1</v>
      </c>
      <c r="B72" s="27" t="str">
        <f>VLOOKUP(Ruimtestaat[[#This Row],[Code]],Locaties[#All],2,FALSE)</f>
        <v>Amstelveen College</v>
      </c>
      <c r="C72" s="27" t="str">
        <f>VLOOKUP(Ruimtestaat[[#This Row],[Code]],Locaties[#All],4,FALSE)</f>
        <v>Sportlaan 27</v>
      </c>
      <c r="D72" s="27" t="str">
        <f>VLOOKUP(Ruimtestaat[[#This Row],[Code]],Locaties[#All],5,FALSE)</f>
        <v>1185 TB</v>
      </c>
      <c r="E72" s="27" t="str">
        <f>VLOOKUP(Ruimtestaat[[#This Row],[Code]],Locaties[#All],6,FALSE)</f>
        <v>Amstelveen</v>
      </c>
      <c r="F72" s="74"/>
      <c r="G72" s="27" t="s">
        <v>456</v>
      </c>
      <c r="H72" s="35" t="s">
        <v>489</v>
      </c>
      <c r="I72" s="24" t="s">
        <v>369</v>
      </c>
      <c r="J72" s="27">
        <v>6</v>
      </c>
      <c r="K72" s="74" t="str">
        <f>VLOOKUP(J72,Ruimtegroepen[],2,FALSE)</f>
        <v>Gangen/hallen</v>
      </c>
      <c r="L72" s="27" t="s">
        <v>114</v>
      </c>
      <c r="M72" s="27" t="s">
        <v>139</v>
      </c>
      <c r="N72" s="107">
        <v>23</v>
      </c>
      <c r="O72" s="107"/>
      <c r="P72" s="118" t="str">
        <f>LEFT(VLOOKUP(Ruimtestaat[[#This Row],[Ruimte code]],Ruimtegroepen[#All],4,1),2)</f>
        <v xml:space="preserve">V </v>
      </c>
      <c r="Q72" s="107" t="s">
        <v>720</v>
      </c>
      <c r="R72" s="108">
        <v>42</v>
      </c>
      <c r="S72" s="109" t="s">
        <v>2</v>
      </c>
      <c r="T72" s="110">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72" s="110">
        <f>IF(T72&gt;0,VLOOKUP($J72,Ruimtegroepen[],3,FALSE)*VLOOKUP($L72,Vloersoorten[],3,FALSE)*VLOOKUP($S72,Frequenties[],3,FALSE)*VLOOKUP($A72,Locaties[],3,FALSE),0)</f>
        <v>0</v>
      </c>
      <c r="V72" s="111">
        <f>Ruimtestaat[[#This Row],[Uitvoeringen werkdagen]]*Ruimtestaat[[#This Row],[Oppervlak (netto)]]</f>
        <v>4830</v>
      </c>
      <c r="W72" s="112">
        <f>IF(U72&gt;0,Ruimtestaat[[#This Row],[Prest. (m2 /jaar) werkdagen]]/Ruimtestaat[[#This Row],[Norm (m2/uur) werkdagen]],0)</f>
        <v>0</v>
      </c>
      <c r="X72" s="113">
        <f>Ruimtestaat[[#This Row],[uren / jaar werkdagen]]*Tariefsopbouw!$E$35</f>
        <v>0</v>
      </c>
      <c r="Y72" s="110"/>
      <c r="Z72" s="114">
        <f>IF(Ruimtestaat[[#This Row],[Frequentie weekend]]&gt;0,VALUE(LEFT(Y72,1))*R72,0)</f>
        <v>0</v>
      </c>
      <c r="AA72" s="110">
        <f>IF($Z72&gt;0,VLOOKUP($J72,Ruimtegroepen[],3,FALSE)*VLOOKUP($L72,Vloersoorten[],3,FALSE)*VLOOKUP($Y72,Frequenties[],3,FALSE)*VLOOKUP($A68,Locaties[],3,FALSE),0)</f>
        <v>0</v>
      </c>
      <c r="AB72" s="112">
        <f>Ruimtestaat[[#This Row],[Uitvoeringen weekend]]*Ruimtestaat[[#This Row],[Oppervlak (netto)]]</f>
        <v>0</v>
      </c>
      <c r="AC72" s="115">
        <f>IF(AB72&gt;0,Ruimtestaat[[#This Row],[Prest. (m2 /jaar) weekend]]/Ruimtestaat[[#This Row],[Norm (m2/uur) weekend]],0)</f>
        <v>0</v>
      </c>
      <c r="AD72" s="116">
        <f>Ruimtestaat[[#This Row],[uren / jaar weekend]]*Tariefsopbouw!$D$40</f>
        <v>0</v>
      </c>
      <c r="AE72" s="82">
        <f>Ruimtestaat[[#This Row],[Prest. (m2 /jaar) weekend]]+Ruimtestaat[[#This Row],[Prest. (m2 /jaar) werkdagen]]</f>
        <v>4830</v>
      </c>
      <c r="AF72" s="82">
        <f>Ruimtestaat[[#This Row],[uren / jaar weekend]]+Ruimtestaat[[#This Row],[uren / jaar werkdagen]]</f>
        <v>0</v>
      </c>
      <c r="AG72" s="83">
        <f>Ruimtestaat[[#This Row],[kosten / jaar weekend]]+Ruimtestaat[[#This Row],[kosten / jaar werkdagen]]</f>
        <v>0</v>
      </c>
      <c r="AH72" s="117"/>
      <c r="HL72" s="87"/>
    </row>
    <row r="73" spans="1:220" ht="15" customHeight="1">
      <c r="A73" s="136">
        <v>1</v>
      </c>
      <c r="B73" s="27" t="str">
        <f>VLOOKUP(Ruimtestaat[[#This Row],[Code]],Locaties[#All],2,FALSE)</f>
        <v>Amstelveen College</v>
      </c>
      <c r="C73" s="27" t="str">
        <f>VLOOKUP(Ruimtestaat[[#This Row],[Code]],Locaties[#All],4,FALSE)</f>
        <v>Sportlaan 27</v>
      </c>
      <c r="D73" s="27" t="str">
        <f>VLOOKUP(Ruimtestaat[[#This Row],[Code]],Locaties[#All],5,FALSE)</f>
        <v>1185 TB</v>
      </c>
      <c r="E73" s="27" t="str">
        <f>VLOOKUP(Ruimtestaat[[#This Row],[Code]],Locaties[#All],6,FALSE)</f>
        <v>Amstelveen</v>
      </c>
      <c r="F73" s="74"/>
      <c r="G73" s="27" t="s">
        <v>456</v>
      </c>
      <c r="H73" s="35" t="s">
        <v>490</v>
      </c>
      <c r="I73" s="24" t="s">
        <v>368</v>
      </c>
      <c r="J73" s="27">
        <v>16</v>
      </c>
      <c r="K73" s="74" t="str">
        <f>VLOOKUP(J73,Ruimtegroepen[],2,FALSE)</f>
        <v>Leslokalen theorie</v>
      </c>
      <c r="L73" s="27" t="s">
        <v>114</v>
      </c>
      <c r="M73" s="27" t="s">
        <v>139</v>
      </c>
      <c r="N73" s="107">
        <v>55</v>
      </c>
      <c r="O73" s="107"/>
      <c r="P73" s="118" t="str">
        <f>LEFT(VLOOKUP(Ruimtestaat[[#This Row],[Ruimte code]],Ruimtegroepen[#All],4,1),2)</f>
        <v xml:space="preserve">L </v>
      </c>
      <c r="Q73" s="107" t="s">
        <v>720</v>
      </c>
      <c r="R73" s="108">
        <v>40</v>
      </c>
      <c r="S73" s="109" t="s">
        <v>18</v>
      </c>
      <c r="T73" s="110">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3" s="110">
        <f>IF(T73&gt;0,VLOOKUP($J73,Ruimtegroepen[],3,FALSE)*VLOOKUP($L73,Vloersoorten[],3,FALSE)*VLOOKUP($S73,Frequenties[],3,FALSE)*VLOOKUP($A73,Locaties[],3,FALSE),0)</f>
        <v>0</v>
      </c>
      <c r="V73" s="111">
        <f>Ruimtestaat[[#This Row],[Uitvoeringen werkdagen]]*Ruimtestaat[[#This Row],[Oppervlak (netto)]]</f>
        <v>6600</v>
      </c>
      <c r="W73" s="112">
        <f>IF(U73&gt;0,Ruimtestaat[[#This Row],[Prest. (m2 /jaar) werkdagen]]/Ruimtestaat[[#This Row],[Norm (m2/uur) werkdagen]],0)</f>
        <v>0</v>
      </c>
      <c r="X73" s="113">
        <f>Ruimtestaat[[#This Row],[uren / jaar werkdagen]]*Tariefsopbouw!$E$35</f>
        <v>0</v>
      </c>
      <c r="Y73" s="110"/>
      <c r="Z73" s="114">
        <f>IF(Ruimtestaat[[#This Row],[Frequentie weekend]]&gt;0,VALUE(LEFT(Y73,1))*R73,0)</f>
        <v>0</v>
      </c>
      <c r="AA73" s="110">
        <f>IF($Z73&gt;0,VLOOKUP($J73,Ruimtegroepen[],3,FALSE)*VLOOKUP($L73,Vloersoorten[],3,FALSE)*VLOOKUP($Y73,Frequenties[],3,FALSE)*VLOOKUP($A69,Locaties[],3,FALSE),0)</f>
        <v>0</v>
      </c>
      <c r="AB73" s="112">
        <f>Ruimtestaat[[#This Row],[Uitvoeringen weekend]]*Ruimtestaat[[#This Row],[Oppervlak (netto)]]</f>
        <v>0</v>
      </c>
      <c r="AC73" s="115">
        <f>IF(AB73&gt;0,Ruimtestaat[[#This Row],[Prest. (m2 /jaar) weekend]]/Ruimtestaat[[#This Row],[Norm (m2/uur) weekend]],0)</f>
        <v>0</v>
      </c>
      <c r="AD73" s="116">
        <f>Ruimtestaat[[#This Row],[uren / jaar weekend]]*Tariefsopbouw!$D$40</f>
        <v>0</v>
      </c>
      <c r="AE73" s="82">
        <f>Ruimtestaat[[#This Row],[Prest. (m2 /jaar) weekend]]+Ruimtestaat[[#This Row],[Prest. (m2 /jaar) werkdagen]]</f>
        <v>6600</v>
      </c>
      <c r="AF73" s="82">
        <f>Ruimtestaat[[#This Row],[uren / jaar weekend]]+Ruimtestaat[[#This Row],[uren / jaar werkdagen]]</f>
        <v>0</v>
      </c>
      <c r="AG73" s="83">
        <f>Ruimtestaat[[#This Row],[kosten / jaar weekend]]+Ruimtestaat[[#This Row],[kosten / jaar werkdagen]]</f>
        <v>0</v>
      </c>
      <c r="AH73" s="117"/>
      <c r="HL73" s="87"/>
    </row>
    <row r="74" spans="1:220" ht="15" customHeight="1">
      <c r="A74" s="136">
        <v>1</v>
      </c>
      <c r="B74" s="27" t="str">
        <f>VLOOKUP(Ruimtestaat[[#This Row],[Code]],Locaties[#All],2,FALSE)</f>
        <v>Amstelveen College</v>
      </c>
      <c r="C74" s="27" t="str">
        <f>VLOOKUP(Ruimtestaat[[#This Row],[Code]],Locaties[#All],4,FALSE)</f>
        <v>Sportlaan 27</v>
      </c>
      <c r="D74" s="27" t="str">
        <f>VLOOKUP(Ruimtestaat[[#This Row],[Code]],Locaties[#All],5,FALSE)</f>
        <v>1185 TB</v>
      </c>
      <c r="E74" s="27" t="str">
        <f>VLOOKUP(Ruimtestaat[[#This Row],[Code]],Locaties[#All],6,FALSE)</f>
        <v>Amstelveen</v>
      </c>
      <c r="F74" s="74"/>
      <c r="G74" s="27" t="s">
        <v>456</v>
      </c>
      <c r="H74" s="35" t="s">
        <v>491</v>
      </c>
      <c r="I74" s="24" t="s">
        <v>492</v>
      </c>
      <c r="J74" s="27">
        <v>16</v>
      </c>
      <c r="K74" s="74" t="str">
        <f>VLOOKUP(J74,Ruimtegroepen[],2,FALSE)</f>
        <v>Leslokalen theorie</v>
      </c>
      <c r="L74" s="27" t="s">
        <v>114</v>
      </c>
      <c r="M74" s="27" t="s">
        <v>139</v>
      </c>
      <c r="N74" s="107">
        <v>59</v>
      </c>
      <c r="O74" s="107"/>
      <c r="P74" s="118" t="str">
        <f>LEFT(VLOOKUP(Ruimtestaat[[#This Row],[Ruimte code]],Ruimtegroepen[#All],4,1),2)</f>
        <v xml:space="preserve">L </v>
      </c>
      <c r="Q74" s="107" t="s">
        <v>720</v>
      </c>
      <c r="R74" s="108">
        <v>40</v>
      </c>
      <c r="S74" s="109" t="s">
        <v>18</v>
      </c>
      <c r="T74" s="110">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4" s="110">
        <f>IF(T74&gt;0,VLOOKUP($J74,Ruimtegroepen[],3,FALSE)*VLOOKUP($L74,Vloersoorten[],3,FALSE)*VLOOKUP($S74,Frequenties[],3,FALSE)*VLOOKUP($A74,Locaties[],3,FALSE),0)</f>
        <v>0</v>
      </c>
      <c r="V74" s="111">
        <f>Ruimtestaat[[#This Row],[Uitvoeringen werkdagen]]*Ruimtestaat[[#This Row],[Oppervlak (netto)]]</f>
        <v>7080</v>
      </c>
      <c r="W74" s="112">
        <f>IF(U74&gt;0,Ruimtestaat[[#This Row],[Prest. (m2 /jaar) werkdagen]]/Ruimtestaat[[#This Row],[Norm (m2/uur) werkdagen]],0)</f>
        <v>0</v>
      </c>
      <c r="X74" s="113">
        <f>Ruimtestaat[[#This Row],[uren / jaar werkdagen]]*Tariefsopbouw!$E$35</f>
        <v>0</v>
      </c>
      <c r="Y74" s="110"/>
      <c r="Z74" s="114">
        <f>IF(Ruimtestaat[[#This Row],[Frequentie weekend]]&gt;0,VALUE(LEFT(Y74,1))*R74,0)</f>
        <v>0</v>
      </c>
      <c r="AA74" s="110">
        <f>IF($Z74&gt;0,VLOOKUP($J74,Ruimtegroepen[],3,FALSE)*VLOOKUP($L74,Vloersoorten[],3,FALSE)*VLOOKUP($Y74,Frequenties[],3,FALSE)*VLOOKUP($A70,Locaties[],3,FALSE),0)</f>
        <v>0</v>
      </c>
      <c r="AB74" s="112">
        <f>Ruimtestaat[[#This Row],[Uitvoeringen weekend]]*Ruimtestaat[[#This Row],[Oppervlak (netto)]]</f>
        <v>0</v>
      </c>
      <c r="AC74" s="115">
        <f>IF(AB74&gt;0,Ruimtestaat[[#This Row],[Prest. (m2 /jaar) weekend]]/Ruimtestaat[[#This Row],[Norm (m2/uur) weekend]],0)</f>
        <v>0</v>
      </c>
      <c r="AD74" s="116">
        <f>Ruimtestaat[[#This Row],[uren / jaar weekend]]*Tariefsopbouw!$D$40</f>
        <v>0</v>
      </c>
      <c r="AE74" s="82">
        <f>Ruimtestaat[[#This Row],[Prest. (m2 /jaar) weekend]]+Ruimtestaat[[#This Row],[Prest. (m2 /jaar) werkdagen]]</f>
        <v>7080</v>
      </c>
      <c r="AF74" s="82">
        <f>Ruimtestaat[[#This Row],[uren / jaar weekend]]+Ruimtestaat[[#This Row],[uren / jaar werkdagen]]</f>
        <v>0</v>
      </c>
      <c r="AG74" s="83">
        <f>Ruimtestaat[[#This Row],[kosten / jaar weekend]]+Ruimtestaat[[#This Row],[kosten / jaar werkdagen]]</f>
        <v>0</v>
      </c>
      <c r="AH74" s="117"/>
      <c r="HL74" s="87"/>
    </row>
    <row r="75" spans="1:220" ht="15" customHeight="1">
      <c r="A75" s="136">
        <v>1</v>
      </c>
      <c r="B75" s="27" t="str">
        <f>VLOOKUP(Ruimtestaat[[#This Row],[Code]],Locaties[#All],2,FALSE)</f>
        <v>Amstelveen College</v>
      </c>
      <c r="C75" s="27" t="str">
        <f>VLOOKUP(Ruimtestaat[[#This Row],[Code]],Locaties[#All],4,FALSE)</f>
        <v>Sportlaan 27</v>
      </c>
      <c r="D75" s="27" t="str">
        <f>VLOOKUP(Ruimtestaat[[#This Row],[Code]],Locaties[#All],5,FALSE)</f>
        <v>1185 TB</v>
      </c>
      <c r="E75" s="27" t="str">
        <f>VLOOKUP(Ruimtestaat[[#This Row],[Code]],Locaties[#All],6,FALSE)</f>
        <v>Amstelveen</v>
      </c>
      <c r="F75" s="74"/>
      <c r="G75" s="27" t="s">
        <v>456</v>
      </c>
      <c r="H75" s="35" t="s">
        <v>493</v>
      </c>
      <c r="I75" s="24" t="s">
        <v>494</v>
      </c>
      <c r="J75" s="27">
        <v>8</v>
      </c>
      <c r="K75" s="74" t="str">
        <f>VLOOKUP(J75,Ruimtegroepen[],2,FALSE)</f>
        <v>Mediatheek / OLC</v>
      </c>
      <c r="L75" s="27" t="s">
        <v>114</v>
      </c>
      <c r="M75" s="27" t="s">
        <v>139</v>
      </c>
      <c r="N75" s="107">
        <v>124</v>
      </c>
      <c r="O75" s="107"/>
      <c r="P75" s="118" t="str">
        <f>LEFT(VLOOKUP(Ruimtestaat[[#This Row],[Ruimte code]],Ruimtegroepen[#All],4,1),2)</f>
        <v xml:space="preserve">L </v>
      </c>
      <c r="Q75" s="107" t="s">
        <v>720</v>
      </c>
      <c r="R75" s="108">
        <v>40</v>
      </c>
      <c r="S75" s="109" t="s">
        <v>18</v>
      </c>
      <c r="T75" s="110">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5" s="110">
        <f>IF(T75&gt;0,VLOOKUP($J75,Ruimtegroepen[],3,FALSE)*VLOOKUP($L75,Vloersoorten[],3,FALSE)*VLOOKUP($S75,Frequenties[],3,FALSE)*VLOOKUP($A75,Locaties[],3,FALSE),0)</f>
        <v>0</v>
      </c>
      <c r="V75" s="111">
        <f>Ruimtestaat[[#This Row],[Uitvoeringen werkdagen]]*Ruimtestaat[[#This Row],[Oppervlak (netto)]]</f>
        <v>14880</v>
      </c>
      <c r="W75" s="112">
        <f>IF(U75&gt;0,Ruimtestaat[[#This Row],[Prest. (m2 /jaar) werkdagen]]/Ruimtestaat[[#This Row],[Norm (m2/uur) werkdagen]],0)</f>
        <v>0</v>
      </c>
      <c r="X75" s="113">
        <f>Ruimtestaat[[#This Row],[uren / jaar werkdagen]]*Tariefsopbouw!$E$35</f>
        <v>0</v>
      </c>
      <c r="Y75" s="110"/>
      <c r="Z75" s="114">
        <f>IF(Ruimtestaat[[#This Row],[Frequentie weekend]]&gt;0,VALUE(LEFT(Y75,1))*R75,0)</f>
        <v>0</v>
      </c>
      <c r="AA75" s="110">
        <f>IF($Z75&gt;0,VLOOKUP($J75,Ruimtegroepen[],3,FALSE)*VLOOKUP($L75,Vloersoorten[],3,FALSE)*VLOOKUP($Y75,Frequenties[],3,FALSE)*VLOOKUP($A71,Locaties[],3,FALSE),0)</f>
        <v>0</v>
      </c>
      <c r="AB75" s="112">
        <f>Ruimtestaat[[#This Row],[Uitvoeringen weekend]]*Ruimtestaat[[#This Row],[Oppervlak (netto)]]</f>
        <v>0</v>
      </c>
      <c r="AC75" s="115">
        <f>IF(AB75&gt;0,Ruimtestaat[[#This Row],[Prest. (m2 /jaar) weekend]]/Ruimtestaat[[#This Row],[Norm (m2/uur) weekend]],0)</f>
        <v>0</v>
      </c>
      <c r="AD75" s="116">
        <f>Ruimtestaat[[#This Row],[uren / jaar weekend]]*Tariefsopbouw!$D$40</f>
        <v>0</v>
      </c>
      <c r="AE75" s="82">
        <f>Ruimtestaat[[#This Row],[Prest. (m2 /jaar) weekend]]+Ruimtestaat[[#This Row],[Prest. (m2 /jaar) werkdagen]]</f>
        <v>14880</v>
      </c>
      <c r="AF75" s="82">
        <f>Ruimtestaat[[#This Row],[uren / jaar weekend]]+Ruimtestaat[[#This Row],[uren / jaar werkdagen]]</f>
        <v>0</v>
      </c>
      <c r="AG75" s="83">
        <f>Ruimtestaat[[#This Row],[kosten / jaar weekend]]+Ruimtestaat[[#This Row],[kosten / jaar werkdagen]]</f>
        <v>0</v>
      </c>
      <c r="AH75" s="117"/>
      <c r="HL75" s="87"/>
    </row>
    <row r="76" spans="1:220" ht="15" customHeight="1">
      <c r="A76" s="136">
        <v>1</v>
      </c>
      <c r="B76" s="27" t="str">
        <f>VLOOKUP(Ruimtestaat[[#This Row],[Code]],Locaties[#All],2,FALSE)</f>
        <v>Amstelveen College</v>
      </c>
      <c r="C76" s="27" t="str">
        <f>VLOOKUP(Ruimtestaat[[#This Row],[Code]],Locaties[#All],4,FALSE)</f>
        <v>Sportlaan 27</v>
      </c>
      <c r="D76" s="27" t="str">
        <f>VLOOKUP(Ruimtestaat[[#This Row],[Code]],Locaties[#All],5,FALSE)</f>
        <v>1185 TB</v>
      </c>
      <c r="E76" s="27" t="str">
        <f>VLOOKUP(Ruimtestaat[[#This Row],[Code]],Locaties[#All],6,FALSE)</f>
        <v>Amstelveen</v>
      </c>
      <c r="F76" s="74"/>
      <c r="G76" s="27" t="s">
        <v>456</v>
      </c>
      <c r="H76" s="35" t="s">
        <v>495</v>
      </c>
      <c r="I76" s="24" t="s">
        <v>368</v>
      </c>
      <c r="J76" s="27">
        <v>16</v>
      </c>
      <c r="K76" s="74" t="str">
        <f>VLOOKUP(J76,Ruimtegroepen[],2,FALSE)</f>
        <v>Leslokalen theorie</v>
      </c>
      <c r="L76" s="27" t="s">
        <v>114</v>
      </c>
      <c r="M76" s="27" t="s">
        <v>139</v>
      </c>
      <c r="N76" s="107">
        <v>56</v>
      </c>
      <c r="O76" s="107"/>
      <c r="P76" s="118" t="str">
        <f>LEFT(VLOOKUP(Ruimtestaat[[#This Row],[Ruimte code]],Ruimtegroepen[#All],4,1),2)</f>
        <v xml:space="preserve">L </v>
      </c>
      <c r="Q76" s="107" t="s">
        <v>720</v>
      </c>
      <c r="R76" s="108">
        <v>40</v>
      </c>
      <c r="S76" s="109" t="s">
        <v>18</v>
      </c>
      <c r="T76" s="110">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6" s="110">
        <f>IF(T76&gt;0,VLOOKUP($J76,Ruimtegroepen[],3,FALSE)*VLOOKUP($L76,Vloersoorten[],3,FALSE)*VLOOKUP($S76,Frequenties[],3,FALSE)*VLOOKUP($A76,Locaties[],3,FALSE),0)</f>
        <v>0</v>
      </c>
      <c r="V76" s="111">
        <f>Ruimtestaat[[#This Row],[Uitvoeringen werkdagen]]*Ruimtestaat[[#This Row],[Oppervlak (netto)]]</f>
        <v>6720</v>
      </c>
      <c r="W76" s="112">
        <f>IF(U76&gt;0,Ruimtestaat[[#This Row],[Prest. (m2 /jaar) werkdagen]]/Ruimtestaat[[#This Row],[Norm (m2/uur) werkdagen]],0)</f>
        <v>0</v>
      </c>
      <c r="X76" s="113">
        <f>Ruimtestaat[[#This Row],[uren / jaar werkdagen]]*Tariefsopbouw!$E$35</f>
        <v>0</v>
      </c>
      <c r="Y76" s="110"/>
      <c r="Z76" s="114">
        <f>IF(Ruimtestaat[[#This Row],[Frequentie weekend]]&gt;0,VALUE(LEFT(Y76,1))*R76,0)</f>
        <v>0</v>
      </c>
      <c r="AA76" s="110">
        <f>IF($Z76&gt;0,VLOOKUP($J76,Ruimtegroepen[],3,FALSE)*VLOOKUP($L76,Vloersoorten[],3,FALSE)*VLOOKUP($Y76,Frequenties[],3,FALSE)*VLOOKUP($A72,Locaties[],3,FALSE),0)</f>
        <v>0</v>
      </c>
      <c r="AB76" s="112">
        <f>Ruimtestaat[[#This Row],[Uitvoeringen weekend]]*Ruimtestaat[[#This Row],[Oppervlak (netto)]]</f>
        <v>0</v>
      </c>
      <c r="AC76" s="115">
        <f>IF(AB76&gt;0,Ruimtestaat[[#This Row],[Prest. (m2 /jaar) weekend]]/Ruimtestaat[[#This Row],[Norm (m2/uur) weekend]],0)</f>
        <v>0</v>
      </c>
      <c r="AD76" s="116">
        <f>Ruimtestaat[[#This Row],[uren / jaar weekend]]*Tariefsopbouw!$D$40</f>
        <v>0</v>
      </c>
      <c r="AE76" s="82">
        <f>Ruimtestaat[[#This Row],[Prest. (m2 /jaar) weekend]]+Ruimtestaat[[#This Row],[Prest. (m2 /jaar) werkdagen]]</f>
        <v>6720</v>
      </c>
      <c r="AF76" s="82">
        <f>Ruimtestaat[[#This Row],[uren / jaar weekend]]+Ruimtestaat[[#This Row],[uren / jaar werkdagen]]</f>
        <v>0</v>
      </c>
      <c r="AG76" s="83">
        <f>Ruimtestaat[[#This Row],[kosten / jaar weekend]]+Ruimtestaat[[#This Row],[kosten / jaar werkdagen]]</f>
        <v>0</v>
      </c>
      <c r="AH76" s="117"/>
      <c r="HL76" s="87"/>
    </row>
    <row r="77" spans="1:220" ht="15" customHeight="1">
      <c r="A77" s="136">
        <v>1</v>
      </c>
      <c r="B77" s="27" t="str">
        <f>VLOOKUP(Ruimtestaat[[#This Row],[Code]],Locaties[#All],2,FALSE)</f>
        <v>Amstelveen College</v>
      </c>
      <c r="C77" s="27" t="str">
        <f>VLOOKUP(Ruimtestaat[[#This Row],[Code]],Locaties[#All],4,FALSE)</f>
        <v>Sportlaan 27</v>
      </c>
      <c r="D77" s="27" t="str">
        <f>VLOOKUP(Ruimtestaat[[#This Row],[Code]],Locaties[#All],5,FALSE)</f>
        <v>1185 TB</v>
      </c>
      <c r="E77" s="27" t="str">
        <f>VLOOKUP(Ruimtestaat[[#This Row],[Code]],Locaties[#All],6,FALSE)</f>
        <v>Amstelveen</v>
      </c>
      <c r="F77" s="74"/>
      <c r="G77" s="27" t="s">
        <v>456</v>
      </c>
      <c r="H77" s="35" t="s">
        <v>496</v>
      </c>
      <c r="I77" s="24" t="s">
        <v>484</v>
      </c>
      <c r="J77" s="27">
        <v>6</v>
      </c>
      <c r="K77" s="74" t="str">
        <f>VLOOKUP(J77,Ruimtegroepen[],2,FALSE)</f>
        <v>Gangen/hallen</v>
      </c>
      <c r="L77" s="27" t="s">
        <v>114</v>
      </c>
      <c r="M77" s="27" t="s">
        <v>139</v>
      </c>
      <c r="N77" s="107">
        <v>115</v>
      </c>
      <c r="O77" s="107"/>
      <c r="P77" s="118" t="str">
        <f>LEFT(VLOOKUP(Ruimtestaat[[#This Row],[Ruimte code]],Ruimtegroepen[#All],4,1),2)</f>
        <v xml:space="preserve">V </v>
      </c>
      <c r="Q77" s="107" t="s">
        <v>720</v>
      </c>
      <c r="R77" s="108">
        <v>42</v>
      </c>
      <c r="S77" s="109" t="s">
        <v>2</v>
      </c>
      <c r="T77" s="110">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77" s="110">
        <f>IF(T77&gt;0,VLOOKUP($J77,Ruimtegroepen[],3,FALSE)*VLOOKUP($L77,Vloersoorten[],3,FALSE)*VLOOKUP($S77,Frequenties[],3,FALSE)*VLOOKUP($A77,Locaties[],3,FALSE),0)</f>
        <v>0</v>
      </c>
      <c r="V77" s="111">
        <f>Ruimtestaat[[#This Row],[Uitvoeringen werkdagen]]*Ruimtestaat[[#This Row],[Oppervlak (netto)]]</f>
        <v>24150</v>
      </c>
      <c r="W77" s="112">
        <f>IF(U77&gt;0,Ruimtestaat[[#This Row],[Prest. (m2 /jaar) werkdagen]]/Ruimtestaat[[#This Row],[Norm (m2/uur) werkdagen]],0)</f>
        <v>0</v>
      </c>
      <c r="X77" s="113">
        <f>Ruimtestaat[[#This Row],[uren / jaar werkdagen]]*Tariefsopbouw!$E$35</f>
        <v>0</v>
      </c>
      <c r="Y77" s="110"/>
      <c r="Z77" s="114">
        <f>IF(Ruimtestaat[[#This Row],[Frequentie weekend]]&gt;0,VALUE(LEFT(Y77,1))*R77,0)</f>
        <v>0</v>
      </c>
      <c r="AA77" s="110">
        <f>IF($Z77&gt;0,VLOOKUP($J77,Ruimtegroepen[],3,FALSE)*VLOOKUP($L77,Vloersoorten[],3,FALSE)*VLOOKUP($Y77,Frequenties[],3,FALSE)*VLOOKUP($A73,Locaties[],3,FALSE),0)</f>
        <v>0</v>
      </c>
      <c r="AB77" s="112">
        <f>Ruimtestaat[[#This Row],[Uitvoeringen weekend]]*Ruimtestaat[[#This Row],[Oppervlak (netto)]]</f>
        <v>0</v>
      </c>
      <c r="AC77" s="115">
        <f>IF(AB77&gt;0,Ruimtestaat[[#This Row],[Prest. (m2 /jaar) weekend]]/Ruimtestaat[[#This Row],[Norm (m2/uur) weekend]],0)</f>
        <v>0</v>
      </c>
      <c r="AD77" s="116">
        <f>Ruimtestaat[[#This Row],[uren / jaar weekend]]*Tariefsopbouw!$D$40</f>
        <v>0</v>
      </c>
      <c r="AE77" s="82">
        <f>Ruimtestaat[[#This Row],[Prest. (m2 /jaar) weekend]]+Ruimtestaat[[#This Row],[Prest. (m2 /jaar) werkdagen]]</f>
        <v>24150</v>
      </c>
      <c r="AF77" s="82">
        <f>Ruimtestaat[[#This Row],[uren / jaar weekend]]+Ruimtestaat[[#This Row],[uren / jaar werkdagen]]</f>
        <v>0</v>
      </c>
      <c r="AG77" s="83">
        <f>Ruimtestaat[[#This Row],[kosten / jaar weekend]]+Ruimtestaat[[#This Row],[kosten / jaar werkdagen]]</f>
        <v>0</v>
      </c>
      <c r="AH77" s="117"/>
      <c r="HL77" s="87"/>
    </row>
    <row r="78" spans="1:220" ht="15" customHeight="1">
      <c r="A78" s="136">
        <v>1</v>
      </c>
      <c r="B78" s="27" t="str">
        <f>VLOOKUP(Ruimtestaat[[#This Row],[Code]],Locaties[#All],2,FALSE)</f>
        <v>Amstelveen College</v>
      </c>
      <c r="C78" s="27" t="str">
        <f>VLOOKUP(Ruimtestaat[[#This Row],[Code]],Locaties[#All],4,FALSE)</f>
        <v>Sportlaan 27</v>
      </c>
      <c r="D78" s="27" t="str">
        <f>VLOOKUP(Ruimtestaat[[#This Row],[Code]],Locaties[#All],5,FALSE)</f>
        <v>1185 TB</v>
      </c>
      <c r="E78" s="27" t="str">
        <f>VLOOKUP(Ruimtestaat[[#This Row],[Code]],Locaties[#All],6,FALSE)</f>
        <v>Amstelveen</v>
      </c>
      <c r="F78" s="74"/>
      <c r="G78" s="27" t="s">
        <v>456</v>
      </c>
      <c r="H78" s="27" t="s">
        <v>497</v>
      </c>
      <c r="I78" s="24" t="s">
        <v>498</v>
      </c>
      <c r="J78" s="27">
        <v>2</v>
      </c>
      <c r="K78" s="74" t="str">
        <f>VLOOKUP(J78,Ruimtegroepen[],2,FALSE)</f>
        <v>Kantoren</v>
      </c>
      <c r="L78" s="27" t="s">
        <v>113</v>
      </c>
      <c r="M78" s="27" t="s">
        <v>39</v>
      </c>
      <c r="N78" s="119">
        <v>21</v>
      </c>
      <c r="O78" s="107"/>
      <c r="P78" s="118" t="str">
        <f>LEFT(VLOOKUP(Ruimtestaat[[#This Row],[Ruimte code]],Ruimtegroepen[#All],4,1),2)</f>
        <v xml:space="preserve">B </v>
      </c>
      <c r="Q78" s="107" t="s">
        <v>720</v>
      </c>
      <c r="R78" s="108">
        <v>42</v>
      </c>
      <c r="S78" s="109" t="s">
        <v>15</v>
      </c>
      <c r="T78" s="110">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78" s="110">
        <f>IF(T78&gt;0,VLOOKUP($J78,Ruimtegroepen[],3,FALSE)*VLOOKUP($L78,Vloersoorten[],3,FALSE)*VLOOKUP($S78,Frequenties[],3,FALSE)*VLOOKUP($A78,Locaties[],3,FALSE),0)</f>
        <v>0</v>
      </c>
      <c r="V78" s="111">
        <f>Ruimtestaat[[#This Row],[Uitvoeringen werkdagen]]*Ruimtestaat[[#This Row],[Oppervlak (netto)]]</f>
        <v>882</v>
      </c>
      <c r="W78" s="112">
        <f>IF(U78&gt;0,Ruimtestaat[[#This Row],[Prest. (m2 /jaar) werkdagen]]/Ruimtestaat[[#This Row],[Norm (m2/uur) werkdagen]],0)</f>
        <v>0</v>
      </c>
      <c r="X78" s="113">
        <f>Ruimtestaat[[#This Row],[uren / jaar werkdagen]]*Tariefsopbouw!$E$35</f>
        <v>0</v>
      </c>
      <c r="Y78" s="110"/>
      <c r="Z78" s="114">
        <f>IF(Ruimtestaat[[#This Row],[Frequentie weekend]]&gt;0,VALUE(LEFT(Y78,1))*R78,0)</f>
        <v>0</v>
      </c>
      <c r="AA78" s="110">
        <f>IF($Z78&gt;0,VLOOKUP($J78,Ruimtegroepen[],3,FALSE)*VLOOKUP($L78,Vloersoorten[],3,FALSE)*VLOOKUP($Y78,Frequenties[],3,FALSE)*VLOOKUP($A74,Locaties[],3,FALSE),0)</f>
        <v>0</v>
      </c>
      <c r="AB78" s="112">
        <f>Ruimtestaat[[#This Row],[Uitvoeringen weekend]]*Ruimtestaat[[#This Row],[Oppervlak (netto)]]</f>
        <v>0</v>
      </c>
      <c r="AC78" s="115">
        <f>IF(AB78&gt;0,Ruimtestaat[[#This Row],[Prest. (m2 /jaar) weekend]]/Ruimtestaat[[#This Row],[Norm (m2/uur) weekend]],0)</f>
        <v>0</v>
      </c>
      <c r="AD78" s="116">
        <f>Ruimtestaat[[#This Row],[uren / jaar weekend]]*Tariefsopbouw!$D$40</f>
        <v>0</v>
      </c>
      <c r="AE78" s="82">
        <f>Ruimtestaat[[#This Row],[Prest. (m2 /jaar) weekend]]+Ruimtestaat[[#This Row],[Prest. (m2 /jaar) werkdagen]]</f>
        <v>882</v>
      </c>
      <c r="AF78" s="82">
        <f>Ruimtestaat[[#This Row],[uren / jaar weekend]]+Ruimtestaat[[#This Row],[uren / jaar werkdagen]]</f>
        <v>0</v>
      </c>
      <c r="AG78" s="83">
        <f>Ruimtestaat[[#This Row],[kosten / jaar weekend]]+Ruimtestaat[[#This Row],[kosten / jaar werkdagen]]</f>
        <v>0</v>
      </c>
      <c r="AH78" s="117"/>
      <c r="HL78" s="87"/>
    </row>
    <row r="79" spans="1:220" ht="15" customHeight="1">
      <c r="A79" s="136">
        <v>1</v>
      </c>
      <c r="B79" s="27" t="str">
        <f>VLOOKUP(Ruimtestaat[[#This Row],[Code]],Locaties[#All],2,FALSE)</f>
        <v>Amstelveen College</v>
      </c>
      <c r="C79" s="27" t="str">
        <f>VLOOKUP(Ruimtestaat[[#This Row],[Code]],Locaties[#All],4,FALSE)</f>
        <v>Sportlaan 27</v>
      </c>
      <c r="D79" s="27" t="str">
        <f>VLOOKUP(Ruimtestaat[[#This Row],[Code]],Locaties[#All],5,FALSE)</f>
        <v>1185 TB</v>
      </c>
      <c r="E79" s="27" t="str">
        <f>VLOOKUP(Ruimtestaat[[#This Row],[Code]],Locaties[#All],6,FALSE)</f>
        <v>Amstelveen</v>
      </c>
      <c r="F79" s="74"/>
      <c r="G79" s="27" t="s">
        <v>456</v>
      </c>
      <c r="H79" s="35" t="s">
        <v>499</v>
      </c>
      <c r="I79" s="24" t="s">
        <v>500</v>
      </c>
      <c r="J79" s="27">
        <v>2</v>
      </c>
      <c r="K79" s="74" t="str">
        <f>VLOOKUP(J79,Ruimtegroepen[],2,FALSE)</f>
        <v>Kantoren</v>
      </c>
      <c r="L79" s="27" t="s">
        <v>113</v>
      </c>
      <c r="M79" s="27" t="s">
        <v>39</v>
      </c>
      <c r="N79" s="119">
        <v>22</v>
      </c>
      <c r="O79" s="107"/>
      <c r="P79" s="118" t="str">
        <f>LEFT(VLOOKUP(Ruimtestaat[[#This Row],[Ruimte code]],Ruimtegroepen[#All],4,1),2)</f>
        <v xml:space="preserve">B </v>
      </c>
      <c r="Q79" s="107" t="s">
        <v>720</v>
      </c>
      <c r="R79" s="108">
        <v>42</v>
      </c>
      <c r="S79" s="109" t="s">
        <v>15</v>
      </c>
      <c r="T79" s="110">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79" s="110">
        <f>IF(T79&gt;0,VLOOKUP($J79,Ruimtegroepen[],3,FALSE)*VLOOKUP($L79,Vloersoorten[],3,FALSE)*VLOOKUP($S79,Frequenties[],3,FALSE)*VLOOKUP($A79,Locaties[],3,FALSE),0)</f>
        <v>0</v>
      </c>
      <c r="V79" s="111">
        <f>Ruimtestaat[[#This Row],[Uitvoeringen werkdagen]]*Ruimtestaat[[#This Row],[Oppervlak (netto)]]</f>
        <v>924</v>
      </c>
      <c r="W79" s="112">
        <f>IF(U79&gt;0,Ruimtestaat[[#This Row],[Prest. (m2 /jaar) werkdagen]]/Ruimtestaat[[#This Row],[Norm (m2/uur) werkdagen]],0)</f>
        <v>0</v>
      </c>
      <c r="X79" s="113">
        <f>Ruimtestaat[[#This Row],[uren / jaar werkdagen]]*Tariefsopbouw!$E$35</f>
        <v>0</v>
      </c>
      <c r="Y79" s="110"/>
      <c r="Z79" s="114">
        <f>IF(Ruimtestaat[[#This Row],[Frequentie weekend]]&gt;0,VALUE(LEFT(Y79,1))*R79,0)</f>
        <v>0</v>
      </c>
      <c r="AA79" s="110">
        <f>IF($Z79&gt;0,VLOOKUP($J79,Ruimtegroepen[],3,FALSE)*VLOOKUP($L79,Vloersoorten[],3,FALSE)*VLOOKUP($Y79,Frequenties[],3,FALSE)*VLOOKUP($A75,Locaties[],3,FALSE),0)</f>
        <v>0</v>
      </c>
      <c r="AB79" s="112">
        <f>Ruimtestaat[[#This Row],[Uitvoeringen weekend]]*Ruimtestaat[[#This Row],[Oppervlak (netto)]]</f>
        <v>0</v>
      </c>
      <c r="AC79" s="115">
        <f>IF(AB79&gt;0,Ruimtestaat[[#This Row],[Prest. (m2 /jaar) weekend]]/Ruimtestaat[[#This Row],[Norm (m2/uur) weekend]],0)</f>
        <v>0</v>
      </c>
      <c r="AD79" s="116">
        <f>Ruimtestaat[[#This Row],[uren / jaar weekend]]*Tariefsopbouw!$D$40</f>
        <v>0</v>
      </c>
      <c r="AE79" s="82">
        <f>Ruimtestaat[[#This Row],[Prest. (m2 /jaar) weekend]]+Ruimtestaat[[#This Row],[Prest. (m2 /jaar) werkdagen]]</f>
        <v>924</v>
      </c>
      <c r="AF79" s="82">
        <f>Ruimtestaat[[#This Row],[uren / jaar weekend]]+Ruimtestaat[[#This Row],[uren / jaar werkdagen]]</f>
        <v>0</v>
      </c>
      <c r="AG79" s="83">
        <f>Ruimtestaat[[#This Row],[kosten / jaar weekend]]+Ruimtestaat[[#This Row],[kosten / jaar werkdagen]]</f>
        <v>0</v>
      </c>
      <c r="AH79" s="117"/>
      <c r="HL79" s="87"/>
    </row>
    <row r="80" spans="1:220" ht="15" customHeight="1">
      <c r="A80" s="136">
        <v>1</v>
      </c>
      <c r="B80" s="27" t="str">
        <f>VLOOKUP(Ruimtestaat[[#This Row],[Code]],Locaties[#All],2,FALSE)</f>
        <v>Amstelveen College</v>
      </c>
      <c r="C80" s="27" t="str">
        <f>VLOOKUP(Ruimtestaat[[#This Row],[Code]],Locaties[#All],4,FALSE)</f>
        <v>Sportlaan 27</v>
      </c>
      <c r="D80" s="27" t="str">
        <f>VLOOKUP(Ruimtestaat[[#This Row],[Code]],Locaties[#All],5,FALSE)</f>
        <v>1185 TB</v>
      </c>
      <c r="E80" s="27" t="str">
        <f>VLOOKUP(Ruimtestaat[[#This Row],[Code]],Locaties[#All],6,FALSE)</f>
        <v>Amstelveen</v>
      </c>
      <c r="F80" s="74"/>
      <c r="G80" s="27" t="s">
        <v>456</v>
      </c>
      <c r="H80" s="35" t="s">
        <v>501</v>
      </c>
      <c r="I80" s="24" t="s">
        <v>368</v>
      </c>
      <c r="J80" s="27">
        <v>16</v>
      </c>
      <c r="K80" s="74" t="str">
        <f>VLOOKUP(J80,Ruimtegroepen[],2,FALSE)</f>
        <v>Leslokalen theorie</v>
      </c>
      <c r="L80" s="27" t="s">
        <v>114</v>
      </c>
      <c r="M80" s="27" t="s">
        <v>139</v>
      </c>
      <c r="N80" s="119">
        <v>56</v>
      </c>
      <c r="O80" s="107"/>
      <c r="P80" s="118" t="str">
        <f>LEFT(VLOOKUP(Ruimtestaat[[#This Row],[Ruimte code]],Ruimtegroepen[#All],4,1),2)</f>
        <v xml:space="preserve">L </v>
      </c>
      <c r="Q80" s="107" t="s">
        <v>720</v>
      </c>
      <c r="R80" s="108">
        <v>40</v>
      </c>
      <c r="S80" s="109" t="s">
        <v>18</v>
      </c>
      <c r="T80" s="110">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80" s="110">
        <f>IF(T80&gt;0,VLOOKUP($J80,Ruimtegroepen[],3,FALSE)*VLOOKUP($L80,Vloersoorten[],3,FALSE)*VLOOKUP($S80,Frequenties[],3,FALSE)*VLOOKUP($A80,Locaties[],3,FALSE),0)</f>
        <v>0</v>
      </c>
      <c r="V80" s="111">
        <f>Ruimtestaat[[#This Row],[Uitvoeringen werkdagen]]*Ruimtestaat[[#This Row],[Oppervlak (netto)]]</f>
        <v>6720</v>
      </c>
      <c r="W80" s="112">
        <f>IF(U80&gt;0,Ruimtestaat[[#This Row],[Prest. (m2 /jaar) werkdagen]]/Ruimtestaat[[#This Row],[Norm (m2/uur) werkdagen]],0)</f>
        <v>0</v>
      </c>
      <c r="X80" s="113">
        <f>Ruimtestaat[[#This Row],[uren / jaar werkdagen]]*Tariefsopbouw!$E$35</f>
        <v>0</v>
      </c>
      <c r="Y80" s="110"/>
      <c r="Z80" s="114">
        <f>IF(Ruimtestaat[[#This Row],[Frequentie weekend]]&gt;0,VALUE(LEFT(Y80,1))*R80,0)</f>
        <v>0</v>
      </c>
      <c r="AA80" s="110">
        <f>IF($Z80&gt;0,VLOOKUP($J80,Ruimtegroepen[],3,FALSE)*VLOOKUP($L80,Vloersoorten[],3,FALSE)*VLOOKUP($Y80,Frequenties[],3,FALSE)*VLOOKUP($A76,Locaties[],3,FALSE),0)</f>
        <v>0</v>
      </c>
      <c r="AB80" s="112">
        <f>Ruimtestaat[[#This Row],[Uitvoeringen weekend]]*Ruimtestaat[[#This Row],[Oppervlak (netto)]]</f>
        <v>0</v>
      </c>
      <c r="AC80" s="115">
        <f>IF(AB80&gt;0,Ruimtestaat[[#This Row],[Prest. (m2 /jaar) weekend]]/Ruimtestaat[[#This Row],[Norm (m2/uur) weekend]],0)</f>
        <v>0</v>
      </c>
      <c r="AD80" s="116">
        <f>Ruimtestaat[[#This Row],[uren / jaar weekend]]*Tariefsopbouw!$D$40</f>
        <v>0</v>
      </c>
      <c r="AE80" s="82">
        <f>Ruimtestaat[[#This Row],[Prest. (m2 /jaar) weekend]]+Ruimtestaat[[#This Row],[Prest. (m2 /jaar) werkdagen]]</f>
        <v>6720</v>
      </c>
      <c r="AF80" s="82">
        <f>Ruimtestaat[[#This Row],[uren / jaar weekend]]+Ruimtestaat[[#This Row],[uren / jaar werkdagen]]</f>
        <v>0</v>
      </c>
      <c r="AG80" s="83">
        <f>Ruimtestaat[[#This Row],[kosten / jaar weekend]]+Ruimtestaat[[#This Row],[kosten / jaar werkdagen]]</f>
        <v>0</v>
      </c>
      <c r="AH80" s="117"/>
      <c r="HL80" s="87"/>
    </row>
    <row r="81" spans="1:220" ht="15" customHeight="1">
      <c r="A81" s="136">
        <v>1</v>
      </c>
      <c r="B81" s="27" t="str">
        <f>VLOOKUP(Ruimtestaat[[#This Row],[Code]],Locaties[#All],2,FALSE)</f>
        <v>Amstelveen College</v>
      </c>
      <c r="C81" s="27" t="str">
        <f>VLOOKUP(Ruimtestaat[[#This Row],[Code]],Locaties[#All],4,FALSE)</f>
        <v>Sportlaan 27</v>
      </c>
      <c r="D81" s="27" t="str">
        <f>VLOOKUP(Ruimtestaat[[#This Row],[Code]],Locaties[#All],5,FALSE)</f>
        <v>1185 TB</v>
      </c>
      <c r="E81" s="27" t="str">
        <f>VLOOKUP(Ruimtestaat[[#This Row],[Code]],Locaties[#All],6,FALSE)</f>
        <v>Amstelveen</v>
      </c>
      <c r="F81" s="74"/>
      <c r="G81" s="27" t="s">
        <v>456</v>
      </c>
      <c r="H81" s="35" t="s">
        <v>502</v>
      </c>
      <c r="I81" s="24" t="s">
        <v>503</v>
      </c>
      <c r="J81" s="27">
        <v>5</v>
      </c>
      <c r="K81" s="74" t="str">
        <f>VLOOKUP(J81,Ruimtegroepen[],2,FALSE)</f>
        <v>Sanitair</v>
      </c>
      <c r="L81" s="27" t="s">
        <v>115</v>
      </c>
      <c r="M81" s="27" t="s">
        <v>271</v>
      </c>
      <c r="N81" s="107">
        <v>6</v>
      </c>
      <c r="O81" s="107"/>
      <c r="P81" s="118" t="str">
        <f>LEFT(VLOOKUP(Ruimtestaat[[#This Row],[Ruimte code]],Ruimtegroepen[#All],4,1),2)</f>
        <v xml:space="preserve">S </v>
      </c>
      <c r="Q81" s="107"/>
      <c r="R81" s="108">
        <v>42</v>
      </c>
      <c r="S81" s="109" t="s">
        <v>19</v>
      </c>
      <c r="T81" s="110">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81" s="110">
        <f>IF(T81&gt;0,VLOOKUP($J81,Ruimtegroepen[],3,FALSE)*VLOOKUP($L81,Vloersoorten[],3,FALSE)*VLOOKUP($S81,Frequenties[],3,FALSE)*VLOOKUP($A81,Locaties[],3,FALSE),0)</f>
        <v>0</v>
      </c>
      <c r="V81" s="111">
        <f>Ruimtestaat[[#This Row],[Uitvoeringen werkdagen]]*Ruimtestaat[[#This Row],[Oppervlak (netto)]]</f>
        <v>2520</v>
      </c>
      <c r="W81" s="112">
        <f>IF(U81&gt;0,Ruimtestaat[[#This Row],[Prest. (m2 /jaar) werkdagen]]/Ruimtestaat[[#This Row],[Norm (m2/uur) werkdagen]],0)</f>
        <v>0</v>
      </c>
      <c r="X81" s="113">
        <f>Ruimtestaat[[#This Row],[uren / jaar werkdagen]]*Tariefsopbouw!$E$35</f>
        <v>0</v>
      </c>
      <c r="Y81" s="110"/>
      <c r="Z81" s="114">
        <f>IF(Ruimtestaat[[#This Row],[Frequentie weekend]]&gt;0,VALUE(LEFT(Y81,1))*R81,0)</f>
        <v>0</v>
      </c>
      <c r="AA81" s="110">
        <f>IF($Z81&gt;0,VLOOKUP($J81,Ruimtegroepen[],3,FALSE)*VLOOKUP($L81,Vloersoorten[],3,FALSE)*VLOOKUP($Y81,Frequenties[],3,FALSE)*VLOOKUP($A77,Locaties[],3,FALSE),0)</f>
        <v>0</v>
      </c>
      <c r="AB81" s="112">
        <f>Ruimtestaat[[#This Row],[Uitvoeringen weekend]]*Ruimtestaat[[#This Row],[Oppervlak (netto)]]</f>
        <v>0</v>
      </c>
      <c r="AC81" s="115">
        <f>IF(AB81&gt;0,Ruimtestaat[[#This Row],[Prest. (m2 /jaar) weekend]]/Ruimtestaat[[#This Row],[Norm (m2/uur) weekend]],0)</f>
        <v>0</v>
      </c>
      <c r="AD81" s="116">
        <f>Ruimtestaat[[#This Row],[uren / jaar weekend]]*Tariefsopbouw!$D$40</f>
        <v>0</v>
      </c>
      <c r="AE81" s="82">
        <f>Ruimtestaat[[#This Row],[Prest. (m2 /jaar) weekend]]+Ruimtestaat[[#This Row],[Prest. (m2 /jaar) werkdagen]]</f>
        <v>2520</v>
      </c>
      <c r="AF81" s="82">
        <f>Ruimtestaat[[#This Row],[uren / jaar weekend]]+Ruimtestaat[[#This Row],[uren / jaar werkdagen]]</f>
        <v>0</v>
      </c>
      <c r="AG81" s="83">
        <f>Ruimtestaat[[#This Row],[kosten / jaar weekend]]+Ruimtestaat[[#This Row],[kosten / jaar werkdagen]]</f>
        <v>0</v>
      </c>
      <c r="AH81" s="117"/>
      <c r="HL81" s="87"/>
    </row>
    <row r="82" spans="1:220" ht="15" customHeight="1">
      <c r="A82" s="136">
        <v>1</v>
      </c>
      <c r="B82" s="27" t="str">
        <f>VLOOKUP(Ruimtestaat[[#This Row],[Code]],Locaties[#All],2,FALSE)</f>
        <v>Amstelveen College</v>
      </c>
      <c r="C82" s="27" t="str">
        <f>VLOOKUP(Ruimtestaat[[#This Row],[Code]],Locaties[#All],4,FALSE)</f>
        <v>Sportlaan 27</v>
      </c>
      <c r="D82" s="27" t="str">
        <f>VLOOKUP(Ruimtestaat[[#This Row],[Code]],Locaties[#All],5,FALSE)</f>
        <v>1185 TB</v>
      </c>
      <c r="E82" s="27" t="str">
        <f>VLOOKUP(Ruimtestaat[[#This Row],[Code]],Locaties[#All],6,FALSE)</f>
        <v>Amstelveen</v>
      </c>
      <c r="F82" s="74"/>
      <c r="G82" s="27" t="s">
        <v>456</v>
      </c>
      <c r="H82" s="35" t="s">
        <v>504</v>
      </c>
      <c r="I82" s="24" t="s">
        <v>465</v>
      </c>
      <c r="J82" s="27">
        <v>5</v>
      </c>
      <c r="K82" s="74" t="str">
        <f>VLOOKUP(J82,Ruimtegroepen[],2,FALSE)</f>
        <v>Sanitair</v>
      </c>
      <c r="L82" s="27" t="s">
        <v>115</v>
      </c>
      <c r="M82" s="27" t="s">
        <v>271</v>
      </c>
      <c r="N82" s="107">
        <v>13</v>
      </c>
      <c r="O82" s="107"/>
      <c r="P82" s="118" t="str">
        <f>LEFT(VLOOKUP(Ruimtestaat[[#This Row],[Ruimte code]],Ruimtegroepen[#All],4,1),2)</f>
        <v xml:space="preserve">S </v>
      </c>
      <c r="Q82" s="107"/>
      <c r="R82" s="108">
        <v>42</v>
      </c>
      <c r="S82" s="109" t="s">
        <v>19</v>
      </c>
      <c r="T82" s="110">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82" s="110">
        <f>IF(T82&gt;0,VLOOKUP($J82,Ruimtegroepen[],3,FALSE)*VLOOKUP($L82,Vloersoorten[],3,FALSE)*VLOOKUP($S82,Frequenties[],3,FALSE)*VLOOKUP($A82,Locaties[],3,FALSE),0)</f>
        <v>0</v>
      </c>
      <c r="V82" s="111">
        <f>Ruimtestaat[[#This Row],[Uitvoeringen werkdagen]]*Ruimtestaat[[#This Row],[Oppervlak (netto)]]</f>
        <v>5460</v>
      </c>
      <c r="W82" s="112">
        <f>IF(U82&gt;0,Ruimtestaat[[#This Row],[Prest. (m2 /jaar) werkdagen]]/Ruimtestaat[[#This Row],[Norm (m2/uur) werkdagen]],0)</f>
        <v>0</v>
      </c>
      <c r="X82" s="113">
        <f>Ruimtestaat[[#This Row],[uren / jaar werkdagen]]*Tariefsopbouw!$E$35</f>
        <v>0</v>
      </c>
      <c r="Y82" s="110"/>
      <c r="Z82" s="114">
        <f>IF(Ruimtestaat[[#This Row],[Frequentie weekend]]&gt;0,VALUE(LEFT(Y82,1))*R82,0)</f>
        <v>0</v>
      </c>
      <c r="AA82" s="110">
        <f>IF($Z82&gt;0,VLOOKUP($J82,Ruimtegroepen[],3,FALSE)*VLOOKUP($L82,Vloersoorten[],3,FALSE)*VLOOKUP($Y82,Frequenties[],3,FALSE)*VLOOKUP($A78,Locaties[],3,FALSE),0)</f>
        <v>0</v>
      </c>
      <c r="AB82" s="112">
        <f>Ruimtestaat[[#This Row],[Uitvoeringen weekend]]*Ruimtestaat[[#This Row],[Oppervlak (netto)]]</f>
        <v>0</v>
      </c>
      <c r="AC82" s="115">
        <f>IF(AB82&gt;0,Ruimtestaat[[#This Row],[Prest. (m2 /jaar) weekend]]/Ruimtestaat[[#This Row],[Norm (m2/uur) weekend]],0)</f>
        <v>0</v>
      </c>
      <c r="AD82" s="116">
        <f>Ruimtestaat[[#This Row],[uren / jaar weekend]]*Tariefsopbouw!$D$40</f>
        <v>0</v>
      </c>
      <c r="AE82" s="82">
        <f>Ruimtestaat[[#This Row],[Prest. (m2 /jaar) weekend]]+Ruimtestaat[[#This Row],[Prest. (m2 /jaar) werkdagen]]</f>
        <v>5460</v>
      </c>
      <c r="AF82" s="82">
        <f>Ruimtestaat[[#This Row],[uren / jaar weekend]]+Ruimtestaat[[#This Row],[uren / jaar werkdagen]]</f>
        <v>0</v>
      </c>
      <c r="AG82" s="83">
        <f>Ruimtestaat[[#This Row],[kosten / jaar weekend]]+Ruimtestaat[[#This Row],[kosten / jaar werkdagen]]</f>
        <v>0</v>
      </c>
      <c r="AH82" s="117"/>
      <c r="HL82" s="87"/>
    </row>
    <row r="83" spans="1:220" ht="15" customHeight="1">
      <c r="A83" s="136">
        <v>1</v>
      </c>
      <c r="B83" s="27" t="str">
        <f>VLOOKUP(Ruimtestaat[[#This Row],[Code]],Locaties[#All],2,FALSE)</f>
        <v>Amstelveen College</v>
      </c>
      <c r="C83" s="27" t="str">
        <f>VLOOKUP(Ruimtestaat[[#This Row],[Code]],Locaties[#All],4,FALSE)</f>
        <v>Sportlaan 27</v>
      </c>
      <c r="D83" s="27" t="str">
        <f>VLOOKUP(Ruimtestaat[[#This Row],[Code]],Locaties[#All],5,FALSE)</f>
        <v>1185 TB</v>
      </c>
      <c r="E83" s="27" t="str">
        <f>VLOOKUP(Ruimtestaat[[#This Row],[Code]],Locaties[#All],6,FALSE)</f>
        <v>Amstelveen</v>
      </c>
      <c r="F83" s="74"/>
      <c r="G83" s="27" t="s">
        <v>456</v>
      </c>
      <c r="H83" s="35" t="s">
        <v>505</v>
      </c>
      <c r="I83" s="24" t="s">
        <v>369</v>
      </c>
      <c r="J83" s="27">
        <v>6</v>
      </c>
      <c r="K83" s="74" t="str">
        <f>VLOOKUP(J83,Ruimtegroepen[],2,FALSE)</f>
        <v>Gangen/hallen</v>
      </c>
      <c r="L83" s="27" t="s">
        <v>114</v>
      </c>
      <c r="M83" s="27" t="s">
        <v>139</v>
      </c>
      <c r="N83" s="107">
        <v>31</v>
      </c>
      <c r="O83" s="107"/>
      <c r="P83" s="118" t="str">
        <f>LEFT(VLOOKUP(Ruimtestaat[[#This Row],[Ruimte code]],Ruimtegroepen[#All],4,1),2)</f>
        <v xml:space="preserve">V </v>
      </c>
      <c r="Q83" s="107"/>
      <c r="R83" s="108">
        <v>42</v>
      </c>
      <c r="S83" s="109" t="s">
        <v>2</v>
      </c>
      <c r="T83" s="110">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83" s="110">
        <f>IF(T83&gt;0,VLOOKUP($J83,Ruimtegroepen[],3,FALSE)*VLOOKUP($L83,Vloersoorten[],3,FALSE)*VLOOKUP($S83,Frequenties[],3,FALSE)*VLOOKUP($A83,Locaties[],3,FALSE),0)</f>
        <v>0</v>
      </c>
      <c r="V83" s="111">
        <f>Ruimtestaat[[#This Row],[Uitvoeringen werkdagen]]*Ruimtestaat[[#This Row],[Oppervlak (netto)]]</f>
        <v>6510</v>
      </c>
      <c r="W83" s="112">
        <f>IF(U83&gt;0,Ruimtestaat[[#This Row],[Prest. (m2 /jaar) werkdagen]]/Ruimtestaat[[#This Row],[Norm (m2/uur) werkdagen]],0)</f>
        <v>0</v>
      </c>
      <c r="X83" s="113">
        <f>Ruimtestaat[[#This Row],[uren / jaar werkdagen]]*Tariefsopbouw!$E$35</f>
        <v>0</v>
      </c>
      <c r="Y83" s="110"/>
      <c r="Z83" s="114">
        <f>IF(Ruimtestaat[[#This Row],[Frequentie weekend]]&gt;0,VALUE(LEFT(Y83,1))*R83,0)</f>
        <v>0</v>
      </c>
      <c r="AA83" s="110">
        <f>IF($Z83&gt;0,VLOOKUP($J83,Ruimtegroepen[],3,FALSE)*VLOOKUP($L83,Vloersoorten[],3,FALSE)*VLOOKUP($Y83,Frequenties[],3,FALSE)*VLOOKUP($A79,Locaties[],3,FALSE),0)</f>
        <v>0</v>
      </c>
      <c r="AB83" s="112">
        <f>Ruimtestaat[[#This Row],[Uitvoeringen weekend]]*Ruimtestaat[[#This Row],[Oppervlak (netto)]]</f>
        <v>0</v>
      </c>
      <c r="AC83" s="115">
        <f>IF(AB83&gt;0,Ruimtestaat[[#This Row],[Prest. (m2 /jaar) weekend]]/Ruimtestaat[[#This Row],[Norm (m2/uur) weekend]],0)</f>
        <v>0</v>
      </c>
      <c r="AD83" s="116">
        <f>Ruimtestaat[[#This Row],[uren / jaar weekend]]*Tariefsopbouw!$D$40</f>
        <v>0</v>
      </c>
      <c r="AE83" s="82">
        <f>Ruimtestaat[[#This Row],[Prest. (m2 /jaar) weekend]]+Ruimtestaat[[#This Row],[Prest. (m2 /jaar) werkdagen]]</f>
        <v>6510</v>
      </c>
      <c r="AF83" s="82">
        <f>Ruimtestaat[[#This Row],[uren / jaar weekend]]+Ruimtestaat[[#This Row],[uren / jaar werkdagen]]</f>
        <v>0</v>
      </c>
      <c r="AG83" s="83">
        <f>Ruimtestaat[[#This Row],[kosten / jaar weekend]]+Ruimtestaat[[#This Row],[kosten / jaar werkdagen]]</f>
        <v>0</v>
      </c>
      <c r="AH83" s="117"/>
      <c r="HL83" s="87"/>
    </row>
    <row r="84" spans="1:220" ht="15" customHeight="1">
      <c r="A84" s="136">
        <v>1</v>
      </c>
      <c r="B84" s="27" t="str">
        <f>VLOOKUP(Ruimtestaat[[#This Row],[Code]],Locaties[#All],2,FALSE)</f>
        <v>Amstelveen College</v>
      </c>
      <c r="C84" s="27" t="str">
        <f>VLOOKUP(Ruimtestaat[[#This Row],[Code]],Locaties[#All],4,FALSE)</f>
        <v>Sportlaan 27</v>
      </c>
      <c r="D84" s="27" t="str">
        <f>VLOOKUP(Ruimtestaat[[#This Row],[Code]],Locaties[#All],5,FALSE)</f>
        <v>1185 TB</v>
      </c>
      <c r="E84" s="27" t="str">
        <f>VLOOKUP(Ruimtestaat[[#This Row],[Code]],Locaties[#All],6,FALSE)</f>
        <v>Amstelveen</v>
      </c>
      <c r="F84" s="74"/>
      <c r="G84" s="27" t="s">
        <v>456</v>
      </c>
      <c r="H84" s="35" t="s">
        <v>506</v>
      </c>
      <c r="I84" s="24" t="s">
        <v>370</v>
      </c>
      <c r="J84" s="27">
        <v>20</v>
      </c>
      <c r="K84" s="74" t="str">
        <f>VLOOKUP(J84,Ruimtegroepen[],2,FALSE)</f>
        <v>Niet in onderhoud</v>
      </c>
      <c r="M84" s="27"/>
      <c r="N84" s="107"/>
      <c r="O84" s="107">
        <v>9</v>
      </c>
      <c r="P84" s="118" t="str">
        <f>LEFT(VLOOKUP(Ruimtestaat[[#This Row],[Ruimte code]],Ruimtegroepen[#All],4,1),2)</f>
        <v/>
      </c>
      <c r="Q84" s="107"/>
      <c r="R84" s="108"/>
      <c r="S84" s="109"/>
      <c r="T84" s="110">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4" s="110">
        <f>IF(T84&gt;0,VLOOKUP($J84,Ruimtegroepen[],3,FALSE)*VLOOKUP($L84,Vloersoorten[],3,FALSE)*VLOOKUP($S84,Frequenties[],3,FALSE)*VLOOKUP($A84,Locaties[],3,FALSE),0)</f>
        <v>0</v>
      </c>
      <c r="V84" s="111">
        <f>Ruimtestaat[[#This Row],[Uitvoeringen werkdagen]]*Ruimtestaat[[#This Row],[Oppervlak (netto)]]</f>
        <v>0</v>
      </c>
      <c r="W84" s="112">
        <f>IF(U84&gt;0,Ruimtestaat[[#This Row],[Prest. (m2 /jaar) werkdagen]]/Ruimtestaat[[#This Row],[Norm (m2/uur) werkdagen]],0)</f>
        <v>0</v>
      </c>
      <c r="X84" s="113">
        <f>Ruimtestaat[[#This Row],[uren / jaar werkdagen]]*Tariefsopbouw!$E$35</f>
        <v>0</v>
      </c>
      <c r="Y84" s="110"/>
      <c r="Z84" s="114">
        <f>IF(Ruimtestaat[[#This Row],[Frequentie weekend]]&gt;0,VALUE(LEFT(Y84,1))*R84,0)</f>
        <v>0</v>
      </c>
      <c r="AA84" s="110">
        <f>IF($Z84&gt;0,VLOOKUP($J84,Ruimtegroepen[],3,FALSE)*VLOOKUP($L84,Vloersoorten[],3,FALSE)*VLOOKUP($Y84,Frequenties[],3,FALSE)*VLOOKUP($A80,Locaties[],3,FALSE),0)</f>
        <v>0</v>
      </c>
      <c r="AB84" s="112">
        <f>Ruimtestaat[[#This Row],[Uitvoeringen weekend]]*Ruimtestaat[[#This Row],[Oppervlak (netto)]]</f>
        <v>0</v>
      </c>
      <c r="AC84" s="115">
        <f>IF(AB84&gt;0,Ruimtestaat[[#This Row],[Prest. (m2 /jaar) weekend]]/Ruimtestaat[[#This Row],[Norm (m2/uur) weekend]],0)</f>
        <v>0</v>
      </c>
      <c r="AD84" s="116">
        <f>Ruimtestaat[[#This Row],[uren / jaar weekend]]*Tariefsopbouw!$D$40</f>
        <v>0</v>
      </c>
      <c r="AE84" s="82">
        <f>Ruimtestaat[[#This Row],[Prest. (m2 /jaar) weekend]]+Ruimtestaat[[#This Row],[Prest. (m2 /jaar) werkdagen]]</f>
        <v>0</v>
      </c>
      <c r="AF84" s="82">
        <f>Ruimtestaat[[#This Row],[uren / jaar weekend]]+Ruimtestaat[[#This Row],[uren / jaar werkdagen]]</f>
        <v>0</v>
      </c>
      <c r="AG84" s="83">
        <f>Ruimtestaat[[#This Row],[kosten / jaar weekend]]+Ruimtestaat[[#This Row],[kosten / jaar werkdagen]]</f>
        <v>0</v>
      </c>
      <c r="AH84" s="117"/>
      <c r="HL84" s="87"/>
    </row>
    <row r="85" spans="1:220" ht="15" customHeight="1">
      <c r="A85" s="136">
        <v>1</v>
      </c>
      <c r="B85" s="27" t="str">
        <f>VLOOKUP(Ruimtestaat[[#This Row],[Code]],Locaties[#All],2,FALSE)</f>
        <v>Amstelveen College</v>
      </c>
      <c r="C85" s="27" t="str">
        <f>VLOOKUP(Ruimtestaat[[#This Row],[Code]],Locaties[#All],4,FALSE)</f>
        <v>Sportlaan 27</v>
      </c>
      <c r="D85" s="27" t="str">
        <f>VLOOKUP(Ruimtestaat[[#This Row],[Code]],Locaties[#All],5,FALSE)</f>
        <v>1185 TB</v>
      </c>
      <c r="E85" s="27" t="str">
        <f>VLOOKUP(Ruimtestaat[[#This Row],[Code]],Locaties[#All],6,FALSE)</f>
        <v>Amstelveen</v>
      </c>
      <c r="F85" s="74"/>
      <c r="G85" s="27" t="s">
        <v>456</v>
      </c>
      <c r="H85" s="35" t="s">
        <v>507</v>
      </c>
      <c r="I85" s="24" t="s">
        <v>464</v>
      </c>
      <c r="J85" s="27">
        <v>5</v>
      </c>
      <c r="K85" s="74" t="str">
        <f>VLOOKUP(J85,Ruimtegroepen[],2,FALSE)</f>
        <v>Sanitair</v>
      </c>
      <c r="L85" s="27" t="s">
        <v>115</v>
      </c>
      <c r="M85" s="27" t="s">
        <v>271</v>
      </c>
      <c r="N85" s="107">
        <v>16</v>
      </c>
      <c r="O85" s="107"/>
      <c r="P85" s="118" t="str">
        <f>LEFT(VLOOKUP(Ruimtestaat[[#This Row],[Ruimte code]],Ruimtegroepen[#All],4,1),2)</f>
        <v xml:space="preserve">S </v>
      </c>
      <c r="Q85" s="107"/>
      <c r="R85" s="108">
        <v>42</v>
      </c>
      <c r="S85" s="109" t="s">
        <v>19</v>
      </c>
      <c r="T85" s="110">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85" s="110">
        <f>IF(T85&gt;0,VLOOKUP($J85,Ruimtegroepen[],3,FALSE)*VLOOKUP($L85,Vloersoorten[],3,FALSE)*VLOOKUP($S85,Frequenties[],3,FALSE)*VLOOKUP($A85,Locaties[],3,FALSE),0)</f>
        <v>0</v>
      </c>
      <c r="V85" s="111">
        <f>Ruimtestaat[[#This Row],[Uitvoeringen werkdagen]]*Ruimtestaat[[#This Row],[Oppervlak (netto)]]</f>
        <v>6720</v>
      </c>
      <c r="W85" s="112">
        <f>IF(U85&gt;0,Ruimtestaat[[#This Row],[Prest. (m2 /jaar) werkdagen]]/Ruimtestaat[[#This Row],[Norm (m2/uur) werkdagen]],0)</f>
        <v>0</v>
      </c>
      <c r="X85" s="113">
        <f>Ruimtestaat[[#This Row],[uren / jaar werkdagen]]*Tariefsopbouw!$E$35</f>
        <v>0</v>
      </c>
      <c r="Y85" s="110"/>
      <c r="Z85" s="114">
        <f>IF(Ruimtestaat[[#This Row],[Frequentie weekend]]&gt;0,VALUE(LEFT(Y85,1))*R85,0)</f>
        <v>0</v>
      </c>
      <c r="AA85" s="110">
        <f>IF($Z85&gt;0,VLOOKUP($J85,Ruimtegroepen[],3,FALSE)*VLOOKUP($L85,Vloersoorten[],3,FALSE)*VLOOKUP($Y85,Frequenties[],3,FALSE)*VLOOKUP($A81,Locaties[],3,FALSE),0)</f>
        <v>0</v>
      </c>
      <c r="AB85" s="112">
        <f>Ruimtestaat[[#This Row],[Uitvoeringen weekend]]*Ruimtestaat[[#This Row],[Oppervlak (netto)]]</f>
        <v>0</v>
      </c>
      <c r="AC85" s="115">
        <f>IF(AB85&gt;0,Ruimtestaat[[#This Row],[Prest. (m2 /jaar) weekend]]/Ruimtestaat[[#This Row],[Norm (m2/uur) weekend]],0)</f>
        <v>0</v>
      </c>
      <c r="AD85" s="116">
        <f>Ruimtestaat[[#This Row],[uren / jaar weekend]]*Tariefsopbouw!$D$40</f>
        <v>0</v>
      </c>
      <c r="AE85" s="82">
        <f>Ruimtestaat[[#This Row],[Prest. (m2 /jaar) weekend]]+Ruimtestaat[[#This Row],[Prest. (m2 /jaar) werkdagen]]</f>
        <v>6720</v>
      </c>
      <c r="AF85" s="82">
        <f>Ruimtestaat[[#This Row],[uren / jaar weekend]]+Ruimtestaat[[#This Row],[uren / jaar werkdagen]]</f>
        <v>0</v>
      </c>
      <c r="AG85" s="83">
        <f>Ruimtestaat[[#This Row],[kosten / jaar weekend]]+Ruimtestaat[[#This Row],[kosten / jaar werkdagen]]</f>
        <v>0</v>
      </c>
      <c r="AH85" s="117"/>
      <c r="HL85" s="87"/>
    </row>
    <row r="86" spans="1:220" ht="15" customHeight="1">
      <c r="A86" s="136">
        <v>1</v>
      </c>
      <c r="B86" s="27" t="str">
        <f>VLOOKUP(Ruimtestaat[[#This Row],[Code]],Locaties[#All],2,FALSE)</f>
        <v>Amstelveen College</v>
      </c>
      <c r="C86" s="27" t="str">
        <f>VLOOKUP(Ruimtestaat[[#This Row],[Code]],Locaties[#All],4,FALSE)</f>
        <v>Sportlaan 27</v>
      </c>
      <c r="D86" s="27" t="str">
        <f>VLOOKUP(Ruimtestaat[[#This Row],[Code]],Locaties[#All],5,FALSE)</f>
        <v>1185 TB</v>
      </c>
      <c r="E86" s="27" t="str">
        <f>VLOOKUP(Ruimtestaat[[#This Row],[Code]],Locaties[#All],6,FALSE)</f>
        <v>Amstelveen</v>
      </c>
      <c r="F86" s="74"/>
      <c r="G86" s="27" t="s">
        <v>456</v>
      </c>
      <c r="H86" s="35" t="s">
        <v>431</v>
      </c>
      <c r="I86" s="24" t="s">
        <v>369</v>
      </c>
      <c r="J86" s="27">
        <v>6</v>
      </c>
      <c r="K86" s="74" t="str">
        <f>VLOOKUP(J86,Ruimtegroepen[],2,FALSE)</f>
        <v>Gangen/hallen</v>
      </c>
      <c r="L86" s="27" t="s">
        <v>114</v>
      </c>
      <c r="M86" s="27" t="s">
        <v>139</v>
      </c>
      <c r="N86" s="107">
        <v>19</v>
      </c>
      <c r="O86" s="107"/>
      <c r="P86" s="118" t="str">
        <f>LEFT(VLOOKUP(Ruimtestaat[[#This Row],[Ruimte code]],Ruimtegroepen[#All],4,1),2)</f>
        <v xml:space="preserve">V </v>
      </c>
      <c r="Q86" s="107"/>
      <c r="R86" s="108">
        <v>42</v>
      </c>
      <c r="S86" s="109" t="s">
        <v>2</v>
      </c>
      <c r="T86" s="110">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86" s="110">
        <f>IF(T86&gt;0,VLOOKUP($J86,Ruimtegroepen[],3,FALSE)*VLOOKUP($L86,Vloersoorten[],3,FALSE)*VLOOKUP($S86,Frequenties[],3,FALSE)*VLOOKUP($A86,Locaties[],3,FALSE),0)</f>
        <v>0</v>
      </c>
      <c r="V86" s="111">
        <f>Ruimtestaat[[#This Row],[Uitvoeringen werkdagen]]*Ruimtestaat[[#This Row],[Oppervlak (netto)]]</f>
        <v>3990</v>
      </c>
      <c r="W86" s="112">
        <f>IF(U86&gt;0,Ruimtestaat[[#This Row],[Prest. (m2 /jaar) werkdagen]]/Ruimtestaat[[#This Row],[Norm (m2/uur) werkdagen]],0)</f>
        <v>0</v>
      </c>
      <c r="X86" s="113">
        <f>Ruimtestaat[[#This Row],[uren / jaar werkdagen]]*Tariefsopbouw!$E$35</f>
        <v>0</v>
      </c>
      <c r="Y86" s="110"/>
      <c r="Z86" s="114">
        <f>IF(Ruimtestaat[[#This Row],[Frequentie weekend]]&gt;0,VALUE(LEFT(Y86,1))*R86,0)</f>
        <v>0</v>
      </c>
      <c r="AA86" s="110">
        <f>IF($Z86&gt;0,VLOOKUP($J86,Ruimtegroepen[],3,FALSE)*VLOOKUP($L86,Vloersoorten[],3,FALSE)*VLOOKUP($Y86,Frequenties[],3,FALSE)*VLOOKUP($A82,Locaties[],3,FALSE),0)</f>
        <v>0</v>
      </c>
      <c r="AB86" s="112">
        <f>Ruimtestaat[[#This Row],[Uitvoeringen weekend]]*Ruimtestaat[[#This Row],[Oppervlak (netto)]]</f>
        <v>0</v>
      </c>
      <c r="AC86" s="115">
        <f>IF(AB86&gt;0,Ruimtestaat[[#This Row],[Prest. (m2 /jaar) weekend]]/Ruimtestaat[[#This Row],[Norm (m2/uur) weekend]],0)</f>
        <v>0</v>
      </c>
      <c r="AD86" s="116">
        <f>Ruimtestaat[[#This Row],[uren / jaar weekend]]*Tariefsopbouw!$D$40</f>
        <v>0</v>
      </c>
      <c r="AE86" s="82">
        <f>Ruimtestaat[[#This Row],[Prest. (m2 /jaar) weekend]]+Ruimtestaat[[#This Row],[Prest. (m2 /jaar) werkdagen]]</f>
        <v>3990</v>
      </c>
      <c r="AF86" s="82">
        <f>Ruimtestaat[[#This Row],[uren / jaar weekend]]+Ruimtestaat[[#This Row],[uren / jaar werkdagen]]</f>
        <v>0</v>
      </c>
      <c r="AG86" s="83">
        <f>Ruimtestaat[[#This Row],[kosten / jaar weekend]]+Ruimtestaat[[#This Row],[kosten / jaar werkdagen]]</f>
        <v>0</v>
      </c>
      <c r="AH86" s="117"/>
      <c r="HL86" s="87"/>
    </row>
    <row r="87" spans="1:220" ht="15" customHeight="1">
      <c r="A87" s="136">
        <v>1</v>
      </c>
      <c r="B87" s="27" t="str">
        <f>VLOOKUP(Ruimtestaat[[#This Row],[Code]],Locaties[#All],2,FALSE)</f>
        <v>Amstelveen College</v>
      </c>
      <c r="C87" s="27" t="str">
        <f>VLOOKUP(Ruimtestaat[[#This Row],[Code]],Locaties[#All],4,FALSE)</f>
        <v>Sportlaan 27</v>
      </c>
      <c r="D87" s="27" t="str">
        <f>VLOOKUP(Ruimtestaat[[#This Row],[Code]],Locaties[#All],5,FALSE)</f>
        <v>1185 TB</v>
      </c>
      <c r="E87" s="27" t="str">
        <f>VLOOKUP(Ruimtestaat[[#This Row],[Code]],Locaties[#All],6,FALSE)</f>
        <v>Amstelveen</v>
      </c>
      <c r="F87" s="74"/>
      <c r="G87" s="27" t="s">
        <v>456</v>
      </c>
      <c r="H87" s="35" t="s">
        <v>430</v>
      </c>
      <c r="I87" s="24" t="s">
        <v>374</v>
      </c>
      <c r="J87" s="27">
        <v>10</v>
      </c>
      <c r="K87" s="74" t="str">
        <f>VLOOKUP(J87,Ruimtegroepen[],2,FALSE)</f>
        <v>Trappenhuizen/lift</v>
      </c>
      <c r="L87" s="27" t="s">
        <v>114</v>
      </c>
      <c r="M87" s="27" t="s">
        <v>139</v>
      </c>
      <c r="N87" s="107">
        <v>5</v>
      </c>
      <c r="O87" s="107"/>
      <c r="P87" s="118" t="str">
        <f>LEFT(VLOOKUP(Ruimtestaat[[#This Row],[Ruimte code]],Ruimtegroepen[#All],4,1),2)</f>
        <v xml:space="preserve">V </v>
      </c>
      <c r="Q87" s="118"/>
      <c r="R87" s="108">
        <v>40</v>
      </c>
      <c r="S87" s="109" t="s">
        <v>2</v>
      </c>
      <c r="T87" s="110">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7" s="110">
        <f>IF(T87&gt;0,VLOOKUP($J87,Ruimtegroepen[],3,FALSE)*VLOOKUP($L87,Vloersoorten[],3,FALSE)*VLOOKUP($S87,Frequenties[],3,FALSE)*VLOOKUP($A87,Locaties[],3,FALSE),0)</f>
        <v>0</v>
      </c>
      <c r="V87" s="111">
        <f>Ruimtestaat[[#This Row],[Uitvoeringen werkdagen]]*Ruimtestaat[[#This Row],[Oppervlak (netto)]]</f>
        <v>1000</v>
      </c>
      <c r="W87" s="112">
        <f>IF(U87&gt;0,Ruimtestaat[[#This Row],[Prest. (m2 /jaar) werkdagen]]/Ruimtestaat[[#This Row],[Norm (m2/uur) werkdagen]],0)</f>
        <v>0</v>
      </c>
      <c r="X87" s="113">
        <f>Ruimtestaat[[#This Row],[uren / jaar werkdagen]]*Tariefsopbouw!$E$35</f>
        <v>0</v>
      </c>
      <c r="Y87" s="110"/>
      <c r="Z87" s="114">
        <f>IF(Ruimtestaat[[#This Row],[Frequentie weekend]]&gt;0,VALUE(LEFT(Y87,1))*R87,0)</f>
        <v>0</v>
      </c>
      <c r="AA87" s="110">
        <f>IF($Z87&gt;0,VLOOKUP($J87,Ruimtegroepen[],3,FALSE)*VLOOKUP($L87,Vloersoorten[],3,FALSE)*VLOOKUP($Y87,Frequenties[],3,FALSE)*VLOOKUP($A83,Locaties[],3,FALSE),0)</f>
        <v>0</v>
      </c>
      <c r="AB87" s="112">
        <f>Ruimtestaat[[#This Row],[Uitvoeringen weekend]]*Ruimtestaat[[#This Row],[Oppervlak (netto)]]</f>
        <v>0</v>
      </c>
      <c r="AC87" s="115">
        <f>IF(AB87&gt;0,Ruimtestaat[[#This Row],[Prest. (m2 /jaar) weekend]]/Ruimtestaat[[#This Row],[Norm (m2/uur) weekend]],0)</f>
        <v>0</v>
      </c>
      <c r="AD87" s="116">
        <f>Ruimtestaat[[#This Row],[uren / jaar weekend]]*Tariefsopbouw!$D$40</f>
        <v>0</v>
      </c>
      <c r="AE87" s="82">
        <f>Ruimtestaat[[#This Row],[Prest. (m2 /jaar) weekend]]+Ruimtestaat[[#This Row],[Prest. (m2 /jaar) werkdagen]]</f>
        <v>1000</v>
      </c>
      <c r="AF87" s="82">
        <f>Ruimtestaat[[#This Row],[uren / jaar weekend]]+Ruimtestaat[[#This Row],[uren / jaar werkdagen]]</f>
        <v>0</v>
      </c>
      <c r="AG87" s="83">
        <f>Ruimtestaat[[#This Row],[kosten / jaar weekend]]+Ruimtestaat[[#This Row],[kosten / jaar werkdagen]]</f>
        <v>0</v>
      </c>
      <c r="AH87" s="117"/>
      <c r="HL87" s="87"/>
    </row>
    <row r="88" spans="1:220" ht="15" customHeight="1">
      <c r="A88" s="136">
        <v>1</v>
      </c>
      <c r="B88" s="27" t="str">
        <f>VLOOKUP(Ruimtestaat[[#This Row],[Code]],Locaties[#All],2,FALSE)</f>
        <v>Amstelveen College</v>
      </c>
      <c r="C88" s="27" t="str">
        <f>VLOOKUP(Ruimtestaat[[#This Row],[Code]],Locaties[#All],4,FALSE)</f>
        <v>Sportlaan 27</v>
      </c>
      <c r="D88" s="27" t="str">
        <f>VLOOKUP(Ruimtestaat[[#This Row],[Code]],Locaties[#All],5,FALSE)</f>
        <v>1185 TB</v>
      </c>
      <c r="E88" s="27" t="str">
        <f>VLOOKUP(Ruimtestaat[[#This Row],[Code]],Locaties[#All],6,FALSE)</f>
        <v>Amstelveen</v>
      </c>
      <c r="F88" s="74"/>
      <c r="G88" s="27" t="s">
        <v>456</v>
      </c>
      <c r="H88" s="35" t="s">
        <v>508</v>
      </c>
      <c r="I88" s="24" t="s">
        <v>454</v>
      </c>
      <c r="J88" s="27">
        <v>10</v>
      </c>
      <c r="K88" s="74" t="str">
        <f>VLOOKUP(J88,Ruimtegroepen[],2,FALSE)</f>
        <v>Trappenhuizen/lift</v>
      </c>
      <c r="L88" s="27" t="s">
        <v>116</v>
      </c>
      <c r="M88" s="27" t="s">
        <v>570</v>
      </c>
      <c r="N88" s="107">
        <v>30</v>
      </c>
      <c r="O88" s="107"/>
      <c r="P88" s="118" t="str">
        <f>LEFT(VLOOKUP(Ruimtestaat[[#This Row],[Ruimte code]],Ruimtegroepen[#All],4,1),2)</f>
        <v xml:space="preserve">V </v>
      </c>
      <c r="Q88" s="118"/>
      <c r="R88" s="108">
        <v>40</v>
      </c>
      <c r="S88" s="109" t="s">
        <v>2</v>
      </c>
      <c r="T88" s="110">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110">
        <f>IF(T88&gt;0,VLOOKUP($J88,Ruimtegroepen[],3,FALSE)*VLOOKUP($L88,Vloersoorten[],3,FALSE)*VLOOKUP($S88,Frequenties[],3,FALSE)*VLOOKUP($A88,Locaties[],3,FALSE),0)</f>
        <v>0</v>
      </c>
      <c r="V88" s="111">
        <f>Ruimtestaat[[#This Row],[Uitvoeringen werkdagen]]*Ruimtestaat[[#This Row],[Oppervlak (netto)]]</f>
        <v>6000</v>
      </c>
      <c r="W88" s="112">
        <f>IF(U88&gt;0,Ruimtestaat[[#This Row],[Prest. (m2 /jaar) werkdagen]]/Ruimtestaat[[#This Row],[Norm (m2/uur) werkdagen]],0)</f>
        <v>0</v>
      </c>
      <c r="X88" s="113">
        <f>Ruimtestaat[[#This Row],[uren / jaar werkdagen]]*Tariefsopbouw!$E$35</f>
        <v>0</v>
      </c>
      <c r="Y88" s="110"/>
      <c r="Z88" s="114">
        <f>IF(Ruimtestaat[[#This Row],[Frequentie weekend]]&gt;0,VALUE(LEFT(Y88,1))*R88,0)</f>
        <v>0</v>
      </c>
      <c r="AA88" s="110">
        <f>IF($Z88&gt;0,VLOOKUP($J88,Ruimtegroepen[],3,FALSE)*VLOOKUP($L88,Vloersoorten[],3,FALSE)*VLOOKUP($Y88,Frequenties[],3,FALSE)*VLOOKUP($A84,Locaties[],3,FALSE),0)</f>
        <v>0</v>
      </c>
      <c r="AB88" s="112">
        <f>Ruimtestaat[[#This Row],[Uitvoeringen weekend]]*Ruimtestaat[[#This Row],[Oppervlak (netto)]]</f>
        <v>0</v>
      </c>
      <c r="AC88" s="115">
        <f>IF(AB88&gt;0,Ruimtestaat[[#This Row],[Prest. (m2 /jaar) weekend]]/Ruimtestaat[[#This Row],[Norm (m2/uur) weekend]],0)</f>
        <v>0</v>
      </c>
      <c r="AD88" s="116">
        <f>Ruimtestaat[[#This Row],[uren / jaar weekend]]*Tariefsopbouw!$D$40</f>
        <v>0</v>
      </c>
      <c r="AE88" s="82">
        <f>Ruimtestaat[[#This Row],[Prest. (m2 /jaar) weekend]]+Ruimtestaat[[#This Row],[Prest. (m2 /jaar) werkdagen]]</f>
        <v>6000</v>
      </c>
      <c r="AF88" s="82">
        <f>Ruimtestaat[[#This Row],[uren / jaar weekend]]+Ruimtestaat[[#This Row],[uren / jaar werkdagen]]</f>
        <v>0</v>
      </c>
      <c r="AG88" s="83">
        <f>Ruimtestaat[[#This Row],[kosten / jaar weekend]]+Ruimtestaat[[#This Row],[kosten / jaar werkdagen]]</f>
        <v>0</v>
      </c>
      <c r="AH88" s="117"/>
      <c r="HL88" s="87"/>
    </row>
    <row r="89" spans="1:220" ht="15" customHeight="1">
      <c r="A89" s="136">
        <v>1</v>
      </c>
      <c r="B89" s="27" t="str">
        <f>VLOOKUP(Ruimtestaat[[#This Row],[Code]],Locaties[#All],2,FALSE)</f>
        <v>Amstelveen College</v>
      </c>
      <c r="C89" s="27" t="str">
        <f>VLOOKUP(Ruimtestaat[[#This Row],[Code]],Locaties[#All],4,FALSE)</f>
        <v>Sportlaan 27</v>
      </c>
      <c r="D89" s="27" t="str">
        <f>VLOOKUP(Ruimtestaat[[#This Row],[Code]],Locaties[#All],5,FALSE)</f>
        <v>1185 TB</v>
      </c>
      <c r="E89" s="27" t="str">
        <f>VLOOKUP(Ruimtestaat[[#This Row],[Code]],Locaties[#All],6,FALSE)</f>
        <v>Amstelveen</v>
      </c>
      <c r="F89" s="74"/>
      <c r="G89" s="27" t="s">
        <v>272</v>
      </c>
      <c r="H89" s="35" t="s">
        <v>509</v>
      </c>
      <c r="I89" s="24" t="s">
        <v>454</v>
      </c>
      <c r="J89" s="27">
        <v>10</v>
      </c>
      <c r="K89" s="74" t="str">
        <f>VLOOKUP(J89,Ruimtegroepen[],2,FALSE)</f>
        <v>Trappenhuizen/lift</v>
      </c>
      <c r="L89" s="27" t="s">
        <v>116</v>
      </c>
      <c r="M89" s="27" t="s">
        <v>570</v>
      </c>
      <c r="N89" s="107">
        <v>30</v>
      </c>
      <c r="O89" s="107"/>
      <c r="P89" s="118" t="str">
        <f>LEFT(VLOOKUP(Ruimtestaat[[#This Row],[Ruimte code]],Ruimtegroepen[#All],4,1),2)</f>
        <v xml:space="preserve">V </v>
      </c>
      <c r="Q89" s="118"/>
      <c r="R89" s="108">
        <v>40</v>
      </c>
      <c r="S89" s="109" t="s">
        <v>2</v>
      </c>
      <c r="T89" s="110">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9" s="110">
        <f>IF(T89&gt;0,VLOOKUP($J89,Ruimtegroepen[],3,FALSE)*VLOOKUP($L89,Vloersoorten[],3,FALSE)*VLOOKUP($S89,Frequenties[],3,FALSE)*VLOOKUP($A89,Locaties[],3,FALSE),0)</f>
        <v>0</v>
      </c>
      <c r="V89" s="111">
        <f>Ruimtestaat[[#This Row],[Uitvoeringen werkdagen]]*Ruimtestaat[[#This Row],[Oppervlak (netto)]]</f>
        <v>6000</v>
      </c>
      <c r="W89" s="112">
        <f>IF(U89&gt;0,Ruimtestaat[[#This Row],[Prest. (m2 /jaar) werkdagen]]/Ruimtestaat[[#This Row],[Norm (m2/uur) werkdagen]],0)</f>
        <v>0</v>
      </c>
      <c r="X89" s="113">
        <f>Ruimtestaat[[#This Row],[uren / jaar werkdagen]]*Tariefsopbouw!$E$35</f>
        <v>0</v>
      </c>
      <c r="Y89" s="110"/>
      <c r="Z89" s="114">
        <f>IF(Ruimtestaat[[#This Row],[Frequentie weekend]]&gt;0,VALUE(LEFT(Y89,1))*R89,0)</f>
        <v>0</v>
      </c>
      <c r="AA89" s="110">
        <f>IF($Z89&gt;0,VLOOKUP($J89,Ruimtegroepen[],3,FALSE)*VLOOKUP($L89,Vloersoorten[],3,FALSE)*VLOOKUP($Y89,Frequenties[],3,FALSE)*VLOOKUP($A84,Locaties[],3,FALSE),0)</f>
        <v>0</v>
      </c>
      <c r="AB89" s="112">
        <f>Ruimtestaat[[#This Row],[Uitvoeringen weekend]]*Ruimtestaat[[#This Row],[Oppervlak (netto)]]</f>
        <v>0</v>
      </c>
      <c r="AC89" s="115">
        <f>IF(AB89&gt;0,Ruimtestaat[[#This Row],[Prest. (m2 /jaar) weekend]]/Ruimtestaat[[#This Row],[Norm (m2/uur) weekend]],0)</f>
        <v>0</v>
      </c>
      <c r="AD89" s="116">
        <f>Ruimtestaat[[#This Row],[uren / jaar weekend]]*Tariefsopbouw!$D$40</f>
        <v>0</v>
      </c>
      <c r="AE89" s="82">
        <f>Ruimtestaat[[#This Row],[Prest. (m2 /jaar) weekend]]+Ruimtestaat[[#This Row],[Prest. (m2 /jaar) werkdagen]]</f>
        <v>6000</v>
      </c>
      <c r="AF89" s="82">
        <f>Ruimtestaat[[#This Row],[uren / jaar weekend]]+Ruimtestaat[[#This Row],[uren / jaar werkdagen]]</f>
        <v>0</v>
      </c>
      <c r="AG89" s="83">
        <f>Ruimtestaat[[#This Row],[kosten / jaar weekend]]+Ruimtestaat[[#This Row],[kosten / jaar werkdagen]]</f>
        <v>0</v>
      </c>
      <c r="AH89" s="117"/>
      <c r="HL89" s="87"/>
    </row>
    <row r="90" spans="1:220" ht="15" customHeight="1">
      <c r="A90" s="136">
        <v>1</v>
      </c>
      <c r="B90" s="27" t="str">
        <f>VLOOKUP(Ruimtestaat[[#This Row],[Code]],Locaties[#All],2,FALSE)</f>
        <v>Amstelveen College</v>
      </c>
      <c r="C90" s="27" t="str">
        <f>VLOOKUP(Ruimtestaat[[#This Row],[Code]],Locaties[#All],4,FALSE)</f>
        <v>Sportlaan 27</v>
      </c>
      <c r="D90" s="27" t="str">
        <f>VLOOKUP(Ruimtestaat[[#This Row],[Code]],Locaties[#All],5,FALSE)</f>
        <v>1185 TB</v>
      </c>
      <c r="E90" s="27" t="str">
        <f>VLOOKUP(Ruimtestaat[[#This Row],[Code]],Locaties[#All],6,FALSE)</f>
        <v>Amstelveen</v>
      </c>
      <c r="F90" s="74"/>
      <c r="G90" s="27" t="s">
        <v>272</v>
      </c>
      <c r="H90" s="35" t="s">
        <v>569</v>
      </c>
      <c r="I90" s="24" t="s">
        <v>454</v>
      </c>
      <c r="J90" s="27">
        <v>10</v>
      </c>
      <c r="K90" s="74" t="str">
        <f>VLOOKUP(J90,Ruimtegroepen[],2,FALSE)</f>
        <v>Trappenhuizen/lift</v>
      </c>
      <c r="L90" s="27" t="s">
        <v>116</v>
      </c>
      <c r="M90" s="27" t="s">
        <v>570</v>
      </c>
      <c r="N90" s="107">
        <v>30</v>
      </c>
      <c r="O90" s="107"/>
      <c r="P90" s="118" t="str">
        <f>LEFT(VLOOKUP(Ruimtestaat[[#This Row],[Ruimte code]],Ruimtegroepen[#All],4,1),2)</f>
        <v xml:space="preserve">V </v>
      </c>
      <c r="Q90" s="118"/>
      <c r="R90" s="108">
        <v>40</v>
      </c>
      <c r="S90" s="109" t="s">
        <v>2</v>
      </c>
      <c r="T90" s="110">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0" s="110">
        <f>IF(T90&gt;0,VLOOKUP($J90,Ruimtegroepen[],3,FALSE)*VLOOKUP($L90,Vloersoorten[],3,FALSE)*VLOOKUP($S90,Frequenties[],3,FALSE)*VLOOKUP($A90,Locaties[],3,FALSE),0)</f>
        <v>0</v>
      </c>
      <c r="V90" s="111">
        <f>Ruimtestaat[[#This Row],[Uitvoeringen werkdagen]]*Ruimtestaat[[#This Row],[Oppervlak (netto)]]</f>
        <v>6000</v>
      </c>
      <c r="W90" s="112">
        <f>IF(U90&gt;0,Ruimtestaat[[#This Row],[Prest. (m2 /jaar) werkdagen]]/Ruimtestaat[[#This Row],[Norm (m2/uur) werkdagen]],0)</f>
        <v>0</v>
      </c>
      <c r="X90" s="113">
        <f>Ruimtestaat[[#This Row],[uren / jaar werkdagen]]*Tariefsopbouw!$E$35</f>
        <v>0</v>
      </c>
      <c r="Y90" s="110"/>
      <c r="Z90" s="114">
        <f>IF(Ruimtestaat[[#This Row],[Frequentie weekend]]&gt;0,VALUE(LEFT(Y90,1))*R90,0)</f>
        <v>0</v>
      </c>
      <c r="AA90" s="110">
        <f>IF($Z90&gt;0,VLOOKUP($J90,Ruimtegroepen[],3,FALSE)*VLOOKUP($L90,Vloersoorten[],3,FALSE)*VLOOKUP($Y90,Frequenties[],3,FALSE)*VLOOKUP($A85,Locaties[],3,FALSE),0)</f>
        <v>0</v>
      </c>
      <c r="AB90" s="112">
        <f>Ruimtestaat[[#This Row],[Uitvoeringen weekend]]*Ruimtestaat[[#This Row],[Oppervlak (netto)]]</f>
        <v>0</v>
      </c>
      <c r="AC90" s="115">
        <f>IF(AB90&gt;0,Ruimtestaat[[#This Row],[Prest. (m2 /jaar) weekend]]/Ruimtestaat[[#This Row],[Norm (m2/uur) weekend]],0)</f>
        <v>0</v>
      </c>
      <c r="AD90" s="116">
        <f>Ruimtestaat[[#This Row],[uren / jaar weekend]]*Tariefsopbouw!$D$40</f>
        <v>0</v>
      </c>
      <c r="AE90" s="82">
        <f>Ruimtestaat[[#This Row],[Prest. (m2 /jaar) weekend]]+Ruimtestaat[[#This Row],[Prest. (m2 /jaar) werkdagen]]</f>
        <v>6000</v>
      </c>
      <c r="AF90" s="82">
        <f>Ruimtestaat[[#This Row],[uren / jaar weekend]]+Ruimtestaat[[#This Row],[uren / jaar werkdagen]]</f>
        <v>0</v>
      </c>
      <c r="AG90" s="83">
        <f>Ruimtestaat[[#This Row],[kosten / jaar weekend]]+Ruimtestaat[[#This Row],[kosten / jaar werkdagen]]</f>
        <v>0</v>
      </c>
      <c r="AH90" s="117"/>
      <c r="HL90" s="87"/>
    </row>
    <row r="91" spans="1:220" ht="15" customHeight="1">
      <c r="A91" s="136">
        <v>1</v>
      </c>
      <c r="B91" s="27" t="str">
        <f>VLOOKUP(Ruimtestaat[[#This Row],[Code]],Locaties[#All],2,FALSE)</f>
        <v>Amstelveen College</v>
      </c>
      <c r="C91" s="27" t="str">
        <f>VLOOKUP(Ruimtestaat[[#This Row],[Code]],Locaties[#All],4,FALSE)</f>
        <v>Sportlaan 27</v>
      </c>
      <c r="D91" s="27" t="str">
        <f>VLOOKUP(Ruimtestaat[[#This Row],[Code]],Locaties[#All],5,FALSE)</f>
        <v>1185 TB</v>
      </c>
      <c r="E91" s="27" t="str">
        <f>VLOOKUP(Ruimtestaat[[#This Row],[Code]],Locaties[#All],6,FALSE)</f>
        <v>Amstelveen</v>
      </c>
      <c r="F91" s="74"/>
      <c r="G91" s="27" t="s">
        <v>272</v>
      </c>
      <c r="H91" s="35">
        <v>1024</v>
      </c>
      <c r="I91" s="24" t="s">
        <v>438</v>
      </c>
      <c r="J91" s="27">
        <v>9</v>
      </c>
      <c r="K91" s="74" t="str">
        <f>VLOOKUP(J91,Ruimtegroepen[],2,FALSE)</f>
        <v>Publieksruimte</v>
      </c>
      <c r="L91" s="27" t="s">
        <v>114</v>
      </c>
      <c r="M91" s="27" t="s">
        <v>139</v>
      </c>
      <c r="N91" s="107">
        <v>114</v>
      </c>
      <c r="O91" s="107"/>
      <c r="P91" s="118" t="str">
        <f>LEFT(VLOOKUP(Ruimtestaat[[#This Row],[Ruimte code]],Ruimtegroepen[#All],4,1),2)</f>
        <v xml:space="preserve">V </v>
      </c>
      <c r="Q91" s="118"/>
      <c r="R91" s="108">
        <v>40</v>
      </c>
      <c r="S91" s="109" t="s">
        <v>2</v>
      </c>
      <c r="T91" s="110">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1" s="110">
        <f>IF(T91&gt;0,VLOOKUP($J91,Ruimtegroepen[],3,FALSE)*VLOOKUP($L91,Vloersoorten[],3,FALSE)*VLOOKUP($S91,Frequenties[],3,FALSE)*VLOOKUP($A91,Locaties[],3,FALSE),0)</f>
        <v>0</v>
      </c>
      <c r="V91" s="111">
        <f>Ruimtestaat[[#This Row],[Uitvoeringen werkdagen]]*Ruimtestaat[[#This Row],[Oppervlak (netto)]]</f>
        <v>22800</v>
      </c>
      <c r="W91" s="112">
        <f>IF(U91&gt;0,Ruimtestaat[[#This Row],[Prest. (m2 /jaar) werkdagen]]/Ruimtestaat[[#This Row],[Norm (m2/uur) werkdagen]],0)</f>
        <v>0</v>
      </c>
      <c r="X91" s="113">
        <f>Ruimtestaat[[#This Row],[uren / jaar werkdagen]]*Tariefsopbouw!$E$35</f>
        <v>0</v>
      </c>
      <c r="Y91" s="110"/>
      <c r="Z91" s="114">
        <f>IF(Ruimtestaat[[#This Row],[Frequentie weekend]]&gt;0,VALUE(LEFT(Y91,1))*R91,0)</f>
        <v>0</v>
      </c>
      <c r="AA91" s="110">
        <f>IF($Z91&gt;0,VLOOKUP($J91,Ruimtegroepen[],3,FALSE)*VLOOKUP($L91,Vloersoorten[],3,FALSE)*VLOOKUP($Y91,Frequenties[],3,FALSE)*VLOOKUP($A86,Locaties[],3,FALSE),0)</f>
        <v>0</v>
      </c>
      <c r="AB91" s="112">
        <f>Ruimtestaat[[#This Row],[Uitvoeringen weekend]]*Ruimtestaat[[#This Row],[Oppervlak (netto)]]</f>
        <v>0</v>
      </c>
      <c r="AC91" s="115">
        <f>IF(AB91&gt;0,Ruimtestaat[[#This Row],[Prest. (m2 /jaar) weekend]]/Ruimtestaat[[#This Row],[Norm (m2/uur) weekend]],0)</f>
        <v>0</v>
      </c>
      <c r="AD91" s="116">
        <f>Ruimtestaat[[#This Row],[uren / jaar weekend]]*Tariefsopbouw!$D$40</f>
        <v>0</v>
      </c>
      <c r="AE91" s="82">
        <f>Ruimtestaat[[#This Row],[Prest. (m2 /jaar) weekend]]+Ruimtestaat[[#This Row],[Prest. (m2 /jaar) werkdagen]]</f>
        <v>22800</v>
      </c>
      <c r="AF91" s="82">
        <f>Ruimtestaat[[#This Row],[uren / jaar weekend]]+Ruimtestaat[[#This Row],[uren / jaar werkdagen]]</f>
        <v>0</v>
      </c>
      <c r="AG91" s="83">
        <f>Ruimtestaat[[#This Row],[kosten / jaar weekend]]+Ruimtestaat[[#This Row],[kosten / jaar werkdagen]]</f>
        <v>0</v>
      </c>
      <c r="AH91" s="117"/>
      <c r="HL91" s="87"/>
    </row>
    <row r="92" spans="1:220" ht="15" customHeight="1">
      <c r="A92" s="136">
        <v>1</v>
      </c>
      <c r="B92" s="27" t="str">
        <f>VLOOKUP(Ruimtestaat[[#This Row],[Code]],Locaties[#All],2,FALSE)</f>
        <v>Amstelveen College</v>
      </c>
      <c r="C92" s="27" t="str">
        <f>VLOOKUP(Ruimtestaat[[#This Row],[Code]],Locaties[#All],4,FALSE)</f>
        <v>Sportlaan 27</v>
      </c>
      <c r="D92" s="27" t="str">
        <f>VLOOKUP(Ruimtestaat[[#This Row],[Code]],Locaties[#All],5,FALSE)</f>
        <v>1185 TB</v>
      </c>
      <c r="E92" s="27" t="str">
        <f>VLOOKUP(Ruimtestaat[[#This Row],[Code]],Locaties[#All],6,FALSE)</f>
        <v>Amstelveen</v>
      </c>
      <c r="F92" s="74"/>
      <c r="G92" s="27" t="s">
        <v>272</v>
      </c>
      <c r="H92" s="35">
        <v>1022</v>
      </c>
      <c r="I92" s="24" t="s">
        <v>369</v>
      </c>
      <c r="J92" s="27">
        <v>6</v>
      </c>
      <c r="K92" s="74" t="str">
        <f>VLOOKUP(J92,Ruimtegroepen[],2,FALSE)</f>
        <v>Gangen/hallen</v>
      </c>
      <c r="L92" s="27" t="s">
        <v>114</v>
      </c>
      <c r="M92" s="27" t="s">
        <v>139</v>
      </c>
      <c r="N92" s="107">
        <v>68</v>
      </c>
      <c r="O92" s="107"/>
      <c r="P92" s="118" t="str">
        <f>LEFT(VLOOKUP(Ruimtestaat[[#This Row],[Ruimte code]],Ruimtegroepen[#All],4,1),2)</f>
        <v xml:space="preserve">V </v>
      </c>
      <c r="Q92" s="118"/>
      <c r="R92" s="108">
        <v>42</v>
      </c>
      <c r="S92" s="109" t="s">
        <v>2</v>
      </c>
      <c r="T92" s="110">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92" s="110">
        <f>IF(T92&gt;0,VLOOKUP($J92,Ruimtegroepen[],3,FALSE)*VLOOKUP($L92,Vloersoorten[],3,FALSE)*VLOOKUP($S92,Frequenties[],3,FALSE)*VLOOKUP($A92,Locaties[],3,FALSE),0)</f>
        <v>0</v>
      </c>
      <c r="V92" s="111">
        <f>Ruimtestaat[[#This Row],[Uitvoeringen werkdagen]]*Ruimtestaat[[#This Row],[Oppervlak (netto)]]</f>
        <v>14280</v>
      </c>
      <c r="W92" s="112">
        <f>IF(U92&gt;0,Ruimtestaat[[#This Row],[Prest. (m2 /jaar) werkdagen]]/Ruimtestaat[[#This Row],[Norm (m2/uur) werkdagen]],0)</f>
        <v>0</v>
      </c>
      <c r="X92" s="113">
        <f>Ruimtestaat[[#This Row],[uren / jaar werkdagen]]*Tariefsopbouw!$E$35</f>
        <v>0</v>
      </c>
      <c r="Y92" s="110"/>
      <c r="Z92" s="114">
        <f>IF(Ruimtestaat[[#This Row],[Frequentie weekend]]&gt;0,VALUE(LEFT(Y92,1))*R92,0)</f>
        <v>0</v>
      </c>
      <c r="AA92" s="110">
        <f>IF($Z92&gt;0,VLOOKUP($J92,Ruimtegroepen[],3,FALSE)*VLOOKUP($L92,Vloersoorten[],3,FALSE)*VLOOKUP($Y92,Frequenties[],3,FALSE)*VLOOKUP($A87,Locaties[],3,FALSE),0)</f>
        <v>0</v>
      </c>
      <c r="AB92" s="112">
        <f>Ruimtestaat[[#This Row],[Uitvoeringen weekend]]*Ruimtestaat[[#This Row],[Oppervlak (netto)]]</f>
        <v>0</v>
      </c>
      <c r="AC92" s="115">
        <f>IF(AB92&gt;0,Ruimtestaat[[#This Row],[Prest. (m2 /jaar) weekend]]/Ruimtestaat[[#This Row],[Norm (m2/uur) weekend]],0)</f>
        <v>0</v>
      </c>
      <c r="AD92" s="116">
        <f>Ruimtestaat[[#This Row],[uren / jaar weekend]]*Tariefsopbouw!$D$40</f>
        <v>0</v>
      </c>
      <c r="AE92" s="82">
        <f>Ruimtestaat[[#This Row],[Prest. (m2 /jaar) weekend]]+Ruimtestaat[[#This Row],[Prest. (m2 /jaar) werkdagen]]</f>
        <v>14280</v>
      </c>
      <c r="AF92" s="82">
        <f>Ruimtestaat[[#This Row],[uren / jaar weekend]]+Ruimtestaat[[#This Row],[uren / jaar werkdagen]]</f>
        <v>0</v>
      </c>
      <c r="AG92" s="83">
        <f>Ruimtestaat[[#This Row],[kosten / jaar weekend]]+Ruimtestaat[[#This Row],[kosten / jaar werkdagen]]</f>
        <v>0</v>
      </c>
      <c r="AH92" s="117"/>
      <c r="HL92" s="87"/>
    </row>
    <row r="93" spans="1:220" ht="15" customHeight="1">
      <c r="A93" s="136">
        <v>1</v>
      </c>
      <c r="B93" s="27" t="str">
        <f>VLOOKUP(Ruimtestaat[[#This Row],[Code]],Locaties[#All],2,FALSE)</f>
        <v>Amstelveen College</v>
      </c>
      <c r="C93" s="27" t="str">
        <f>VLOOKUP(Ruimtestaat[[#This Row],[Code]],Locaties[#All],4,FALSE)</f>
        <v>Sportlaan 27</v>
      </c>
      <c r="D93" s="27" t="str">
        <f>VLOOKUP(Ruimtestaat[[#This Row],[Code]],Locaties[#All],5,FALSE)</f>
        <v>1185 TB</v>
      </c>
      <c r="E93" s="27" t="str">
        <f>VLOOKUP(Ruimtestaat[[#This Row],[Code]],Locaties[#All],6,FALSE)</f>
        <v>Amstelveen</v>
      </c>
      <c r="F93" s="74"/>
      <c r="G93" s="27" t="s">
        <v>272</v>
      </c>
      <c r="H93" s="35">
        <v>1021</v>
      </c>
      <c r="I93" s="24" t="s">
        <v>464</v>
      </c>
      <c r="J93" s="27">
        <v>5</v>
      </c>
      <c r="K93" s="74" t="str">
        <f>VLOOKUP(J93,Ruimtegroepen[],2,FALSE)</f>
        <v>Sanitair</v>
      </c>
      <c r="L93" s="27" t="s">
        <v>115</v>
      </c>
      <c r="M93" s="27" t="s">
        <v>271</v>
      </c>
      <c r="N93" s="107">
        <v>11</v>
      </c>
      <c r="O93" s="107"/>
      <c r="P93" s="118" t="str">
        <f>LEFT(VLOOKUP(Ruimtestaat[[#This Row],[Ruimte code]],Ruimtegroepen[#All],4,1),2)</f>
        <v xml:space="preserve">S </v>
      </c>
      <c r="Q93" s="118"/>
      <c r="R93" s="108">
        <v>42</v>
      </c>
      <c r="S93" s="109" t="s">
        <v>19</v>
      </c>
      <c r="T93" s="110">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93" s="110">
        <f>IF(T93&gt;0,VLOOKUP($J93,Ruimtegroepen[],3,FALSE)*VLOOKUP($L93,Vloersoorten[],3,FALSE)*VLOOKUP($S93,Frequenties[],3,FALSE)*VLOOKUP($A93,Locaties[],3,FALSE),0)</f>
        <v>0</v>
      </c>
      <c r="V93" s="111">
        <f>Ruimtestaat[[#This Row],[Uitvoeringen werkdagen]]*Ruimtestaat[[#This Row],[Oppervlak (netto)]]</f>
        <v>4620</v>
      </c>
      <c r="W93" s="112">
        <f>IF(U93&gt;0,Ruimtestaat[[#This Row],[Prest. (m2 /jaar) werkdagen]]/Ruimtestaat[[#This Row],[Norm (m2/uur) werkdagen]],0)</f>
        <v>0</v>
      </c>
      <c r="X93" s="113">
        <f>Ruimtestaat[[#This Row],[uren / jaar werkdagen]]*Tariefsopbouw!$E$35</f>
        <v>0</v>
      </c>
      <c r="Y93" s="110"/>
      <c r="Z93" s="114">
        <f>IF(Ruimtestaat[[#This Row],[Frequentie weekend]]&gt;0,VALUE(LEFT(Y93,1))*R93,0)</f>
        <v>0</v>
      </c>
      <c r="AA93" s="110">
        <f>IF($Z93&gt;0,VLOOKUP($J93,Ruimtegroepen[],3,FALSE)*VLOOKUP($L93,Vloersoorten[],3,FALSE)*VLOOKUP($Y93,Frequenties[],3,FALSE)*VLOOKUP($A88,Locaties[],3,FALSE),0)</f>
        <v>0</v>
      </c>
      <c r="AB93" s="112">
        <f>Ruimtestaat[[#This Row],[Uitvoeringen weekend]]*Ruimtestaat[[#This Row],[Oppervlak (netto)]]</f>
        <v>0</v>
      </c>
      <c r="AC93" s="115">
        <f>IF(AB93&gt;0,Ruimtestaat[[#This Row],[Prest. (m2 /jaar) weekend]]/Ruimtestaat[[#This Row],[Norm (m2/uur) weekend]],0)</f>
        <v>0</v>
      </c>
      <c r="AD93" s="116">
        <f>Ruimtestaat[[#This Row],[uren / jaar weekend]]*Tariefsopbouw!$D$40</f>
        <v>0</v>
      </c>
      <c r="AE93" s="82">
        <f>Ruimtestaat[[#This Row],[Prest. (m2 /jaar) weekend]]+Ruimtestaat[[#This Row],[Prest. (m2 /jaar) werkdagen]]</f>
        <v>4620</v>
      </c>
      <c r="AF93" s="82">
        <f>Ruimtestaat[[#This Row],[uren / jaar weekend]]+Ruimtestaat[[#This Row],[uren / jaar werkdagen]]</f>
        <v>0</v>
      </c>
      <c r="AG93" s="83">
        <f>Ruimtestaat[[#This Row],[kosten / jaar weekend]]+Ruimtestaat[[#This Row],[kosten / jaar werkdagen]]</f>
        <v>0</v>
      </c>
      <c r="AH93" s="117"/>
      <c r="HL93" s="87"/>
    </row>
    <row r="94" spans="1:220" ht="15" customHeight="1">
      <c r="A94" s="136">
        <v>1</v>
      </c>
      <c r="B94" s="27" t="str">
        <f>VLOOKUP(Ruimtestaat[[#This Row],[Code]],Locaties[#All],2,FALSE)</f>
        <v>Amstelveen College</v>
      </c>
      <c r="C94" s="27" t="str">
        <f>VLOOKUP(Ruimtestaat[[#This Row],[Code]],Locaties[#All],4,FALSE)</f>
        <v>Sportlaan 27</v>
      </c>
      <c r="D94" s="27" t="str">
        <f>VLOOKUP(Ruimtestaat[[#This Row],[Code]],Locaties[#All],5,FALSE)</f>
        <v>1185 TB</v>
      </c>
      <c r="E94" s="27" t="str">
        <f>VLOOKUP(Ruimtestaat[[#This Row],[Code]],Locaties[#All],6,FALSE)</f>
        <v>Amstelveen</v>
      </c>
      <c r="F94" s="74"/>
      <c r="G94" s="27" t="s">
        <v>272</v>
      </c>
      <c r="H94" s="35" t="s">
        <v>510</v>
      </c>
      <c r="I94" s="74" t="s">
        <v>465</v>
      </c>
      <c r="J94" s="196">
        <v>5</v>
      </c>
      <c r="K94" s="74" t="str">
        <f>VLOOKUP(J94,Ruimtegroepen[],2,FALSE)</f>
        <v>Sanitair</v>
      </c>
      <c r="L94" s="27" t="s">
        <v>115</v>
      </c>
      <c r="M94" s="27" t="s">
        <v>271</v>
      </c>
      <c r="N94" s="107">
        <v>7</v>
      </c>
      <c r="O94" s="195"/>
      <c r="P94" s="197" t="str">
        <f>LEFT(VLOOKUP(Ruimtestaat[[#This Row],[Ruimte code]],Ruimtegroepen[#All],4,1),2)</f>
        <v xml:space="preserve">S </v>
      </c>
      <c r="Q94" s="198"/>
      <c r="R94" s="108">
        <v>42</v>
      </c>
      <c r="S94" s="109" t="s">
        <v>19</v>
      </c>
      <c r="T94" s="110">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94" s="110">
        <f>IF(T94&gt;0,VLOOKUP($J94,Ruimtegroepen[],3,FALSE)*VLOOKUP($L94,Vloersoorten[],3,FALSE)*VLOOKUP($S94,Frequenties[],3,FALSE)*VLOOKUP($A94,Locaties[],3,FALSE),0)</f>
        <v>0</v>
      </c>
      <c r="V94" s="111">
        <f>Ruimtestaat[[#This Row],[Uitvoeringen werkdagen]]*Ruimtestaat[[#This Row],[Oppervlak (netto)]]</f>
        <v>2940</v>
      </c>
      <c r="W94" s="112">
        <f>IF(U94&gt;0,Ruimtestaat[[#This Row],[Prest. (m2 /jaar) werkdagen]]/Ruimtestaat[[#This Row],[Norm (m2/uur) werkdagen]],0)</f>
        <v>0</v>
      </c>
      <c r="X94" s="113">
        <f>Ruimtestaat[[#This Row],[uren / jaar werkdagen]]*Tariefsopbouw!$E$35</f>
        <v>0</v>
      </c>
      <c r="Y94" s="110"/>
      <c r="Z94" s="114">
        <f>IF(Ruimtestaat[[#This Row],[Frequentie weekend]]&gt;0,VALUE(LEFT(Y94,1))*R94,0)</f>
        <v>0</v>
      </c>
      <c r="AA94" s="110">
        <f>IF($Z94&gt;0,VLOOKUP($J94,Ruimtegroepen[],3,FALSE)*VLOOKUP($L94,Vloersoorten[],3,FALSE)*VLOOKUP($Y94,Frequenties[],3,FALSE)*VLOOKUP($A90,Locaties[],3,FALSE),0)</f>
        <v>0</v>
      </c>
      <c r="AB94" s="112">
        <f>Ruimtestaat[[#This Row],[Uitvoeringen weekend]]*Ruimtestaat[[#This Row],[Oppervlak (netto)]]</f>
        <v>0</v>
      </c>
      <c r="AC94" s="115">
        <f>IF(AB94&gt;0,Ruimtestaat[[#This Row],[Prest. (m2 /jaar) weekend]]/Ruimtestaat[[#This Row],[Norm (m2/uur) weekend]],0)</f>
        <v>0</v>
      </c>
      <c r="AD94" s="116">
        <f>Ruimtestaat[[#This Row],[uren / jaar weekend]]*Tariefsopbouw!$D$40</f>
        <v>0</v>
      </c>
      <c r="AE94" s="82">
        <f>Ruimtestaat[[#This Row],[Prest. (m2 /jaar) weekend]]+Ruimtestaat[[#This Row],[Prest. (m2 /jaar) werkdagen]]</f>
        <v>2940</v>
      </c>
      <c r="AF94" s="82">
        <f>Ruimtestaat[[#This Row],[uren / jaar weekend]]+Ruimtestaat[[#This Row],[uren / jaar werkdagen]]</f>
        <v>0</v>
      </c>
      <c r="AG94" s="83">
        <f>Ruimtestaat[[#This Row],[kosten / jaar weekend]]+Ruimtestaat[[#This Row],[kosten / jaar werkdagen]]</f>
        <v>0</v>
      </c>
      <c r="AH94" s="117"/>
      <c r="HL94" s="87"/>
    </row>
    <row r="95" spans="1:220" ht="15" customHeight="1">
      <c r="A95" s="136">
        <v>1</v>
      </c>
      <c r="B95" s="27" t="str">
        <f>VLOOKUP(Ruimtestaat[[#This Row],[Code]],Locaties[#All],2,FALSE)</f>
        <v>Amstelveen College</v>
      </c>
      <c r="C95" s="27" t="str">
        <f>VLOOKUP(Ruimtestaat[[#This Row],[Code]],Locaties[#All],4,FALSE)</f>
        <v>Sportlaan 27</v>
      </c>
      <c r="D95" s="27" t="str">
        <f>VLOOKUP(Ruimtestaat[[#This Row],[Code]],Locaties[#All],5,FALSE)</f>
        <v>1185 TB</v>
      </c>
      <c r="E95" s="27" t="str">
        <f>VLOOKUP(Ruimtestaat[[#This Row],[Code]],Locaties[#All],6,FALSE)</f>
        <v>Amstelveen</v>
      </c>
      <c r="F95" s="74"/>
      <c r="G95" s="27" t="s">
        <v>272</v>
      </c>
      <c r="H95" s="35" t="s">
        <v>511</v>
      </c>
      <c r="I95" s="24" t="s">
        <v>512</v>
      </c>
      <c r="J95" s="27">
        <v>6</v>
      </c>
      <c r="K95" s="74" t="str">
        <f>VLOOKUP(J95,Ruimtegroepen[],2,FALSE)</f>
        <v>Gangen/hallen</v>
      </c>
      <c r="L95" s="27" t="s">
        <v>114</v>
      </c>
      <c r="M95" s="27" t="s">
        <v>139</v>
      </c>
      <c r="N95" s="107">
        <v>12</v>
      </c>
      <c r="O95" s="107"/>
      <c r="P95" s="118" t="str">
        <f>LEFT(VLOOKUP(Ruimtestaat[[#This Row],[Ruimte code]],Ruimtegroepen[#All],4,1),2)</f>
        <v xml:space="preserve">V </v>
      </c>
      <c r="Q95" s="118"/>
      <c r="R95" s="108">
        <v>42</v>
      </c>
      <c r="S95" s="109" t="s">
        <v>2</v>
      </c>
      <c r="T95" s="110">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95" s="110">
        <f>IF(T95&gt;0,VLOOKUP($J95,Ruimtegroepen[],3,FALSE)*VLOOKUP($L95,Vloersoorten[],3,FALSE)*VLOOKUP($S95,Frequenties[],3,FALSE)*VLOOKUP($A95,Locaties[],3,FALSE),0)</f>
        <v>0</v>
      </c>
      <c r="V95" s="111">
        <f>Ruimtestaat[[#This Row],[Uitvoeringen werkdagen]]*Ruimtestaat[[#This Row],[Oppervlak (netto)]]</f>
        <v>2520</v>
      </c>
      <c r="W95" s="112">
        <f>IF(U95&gt;0,Ruimtestaat[[#This Row],[Prest. (m2 /jaar) werkdagen]]/Ruimtestaat[[#This Row],[Norm (m2/uur) werkdagen]],0)</f>
        <v>0</v>
      </c>
      <c r="X95" s="113">
        <f>Ruimtestaat[[#This Row],[uren / jaar werkdagen]]*Tariefsopbouw!$E$35</f>
        <v>0</v>
      </c>
      <c r="Y95" s="110"/>
      <c r="Z95" s="114">
        <f>IF(Ruimtestaat[[#This Row],[Frequentie weekend]]&gt;0,VALUE(LEFT(Y95,1))*R95,0)</f>
        <v>0</v>
      </c>
      <c r="AA95" s="110">
        <f>IF($Z95&gt;0,VLOOKUP($J95,Ruimtegroepen[],3,FALSE)*VLOOKUP($L95,Vloersoorten[],3,FALSE)*VLOOKUP($Y95,Frequenties[],3,FALSE)*VLOOKUP($A91,Locaties[],3,FALSE),0)</f>
        <v>0</v>
      </c>
      <c r="AB95" s="112">
        <f>Ruimtestaat[[#This Row],[Uitvoeringen weekend]]*Ruimtestaat[[#This Row],[Oppervlak (netto)]]</f>
        <v>0</v>
      </c>
      <c r="AC95" s="115">
        <f>IF(AB95&gt;0,Ruimtestaat[[#This Row],[Prest. (m2 /jaar) weekend]]/Ruimtestaat[[#This Row],[Norm (m2/uur) weekend]],0)</f>
        <v>0</v>
      </c>
      <c r="AD95" s="116">
        <f>Ruimtestaat[[#This Row],[uren / jaar weekend]]*Tariefsopbouw!$D$40</f>
        <v>0</v>
      </c>
      <c r="AE95" s="82">
        <f>Ruimtestaat[[#This Row],[Prest. (m2 /jaar) weekend]]+Ruimtestaat[[#This Row],[Prest. (m2 /jaar) werkdagen]]</f>
        <v>2520</v>
      </c>
      <c r="AF95" s="82">
        <f>Ruimtestaat[[#This Row],[uren / jaar weekend]]+Ruimtestaat[[#This Row],[uren / jaar werkdagen]]</f>
        <v>0</v>
      </c>
      <c r="AG95" s="83">
        <f>Ruimtestaat[[#This Row],[kosten / jaar weekend]]+Ruimtestaat[[#This Row],[kosten / jaar werkdagen]]</f>
        <v>0</v>
      </c>
      <c r="AH95" s="117"/>
      <c r="HL95" s="87"/>
    </row>
    <row r="96" spans="1:220" ht="15" customHeight="1">
      <c r="A96" s="136">
        <v>1</v>
      </c>
      <c r="B96" s="27" t="str">
        <f>VLOOKUP(Ruimtestaat[[#This Row],[Code]],Locaties[#All],2,FALSE)</f>
        <v>Amstelveen College</v>
      </c>
      <c r="C96" s="27" t="str">
        <f>VLOOKUP(Ruimtestaat[[#This Row],[Code]],Locaties[#All],4,FALSE)</f>
        <v>Sportlaan 27</v>
      </c>
      <c r="D96" s="27" t="str">
        <f>VLOOKUP(Ruimtestaat[[#This Row],[Code]],Locaties[#All],5,FALSE)</f>
        <v>1185 TB</v>
      </c>
      <c r="E96" s="27" t="str">
        <f>VLOOKUP(Ruimtestaat[[#This Row],[Code]],Locaties[#All],6,FALSE)</f>
        <v>Amstelveen</v>
      </c>
      <c r="F96" s="74"/>
      <c r="G96" s="27" t="s">
        <v>272</v>
      </c>
      <c r="H96" s="35">
        <v>1015</v>
      </c>
      <c r="I96" s="24" t="s">
        <v>513</v>
      </c>
      <c r="J96" s="27">
        <v>9</v>
      </c>
      <c r="K96" s="74" t="str">
        <f>VLOOKUP(J96,Ruimtegroepen[],2,FALSE)</f>
        <v>Publieksruimte</v>
      </c>
      <c r="L96" s="27" t="s">
        <v>114</v>
      </c>
      <c r="M96" s="27" t="s">
        <v>139</v>
      </c>
      <c r="N96" s="107">
        <v>14</v>
      </c>
      <c r="O96" s="107"/>
      <c r="P96" s="118" t="str">
        <f>LEFT(VLOOKUP(Ruimtestaat[[#This Row],[Ruimte code]],Ruimtegroepen[#All],4,1),2)</f>
        <v xml:space="preserve">V </v>
      </c>
      <c r="Q96" s="118"/>
      <c r="R96" s="108">
        <v>40</v>
      </c>
      <c r="S96" s="109" t="s">
        <v>2</v>
      </c>
      <c r="T96" s="110">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110">
        <f>IF(T96&gt;0,VLOOKUP($J96,Ruimtegroepen[],3,FALSE)*VLOOKUP($L96,Vloersoorten[],3,FALSE)*VLOOKUP($S96,Frequenties[],3,FALSE)*VLOOKUP($A96,Locaties[],3,FALSE),0)</f>
        <v>0</v>
      </c>
      <c r="V96" s="111">
        <f>Ruimtestaat[[#This Row],[Uitvoeringen werkdagen]]*Ruimtestaat[[#This Row],[Oppervlak (netto)]]</f>
        <v>2800</v>
      </c>
      <c r="W96" s="112">
        <f>IF(U96&gt;0,Ruimtestaat[[#This Row],[Prest. (m2 /jaar) werkdagen]]/Ruimtestaat[[#This Row],[Norm (m2/uur) werkdagen]],0)</f>
        <v>0</v>
      </c>
      <c r="X96" s="113">
        <f>Ruimtestaat[[#This Row],[uren / jaar werkdagen]]*Tariefsopbouw!$E$35</f>
        <v>0</v>
      </c>
      <c r="Y96" s="110"/>
      <c r="Z96" s="114">
        <f>IF(Ruimtestaat[[#This Row],[Frequentie weekend]]&gt;0,VALUE(LEFT(Y96,1))*R96,0)</f>
        <v>0</v>
      </c>
      <c r="AA96" s="110">
        <f>IF($Z96&gt;0,VLOOKUP($J96,Ruimtegroepen[],3,FALSE)*VLOOKUP($L96,Vloersoorten[],3,FALSE)*VLOOKUP($Y96,Frequenties[],3,FALSE)*VLOOKUP($A92,Locaties[],3,FALSE),0)</f>
        <v>0</v>
      </c>
      <c r="AB96" s="112">
        <f>Ruimtestaat[[#This Row],[Uitvoeringen weekend]]*Ruimtestaat[[#This Row],[Oppervlak (netto)]]</f>
        <v>0</v>
      </c>
      <c r="AC96" s="115">
        <f>IF(AB96&gt;0,Ruimtestaat[[#This Row],[Prest. (m2 /jaar) weekend]]/Ruimtestaat[[#This Row],[Norm (m2/uur) weekend]],0)</f>
        <v>0</v>
      </c>
      <c r="AD96" s="116">
        <f>Ruimtestaat[[#This Row],[uren / jaar weekend]]*Tariefsopbouw!$D$40</f>
        <v>0</v>
      </c>
      <c r="AE96" s="82">
        <f>Ruimtestaat[[#This Row],[Prest. (m2 /jaar) weekend]]+Ruimtestaat[[#This Row],[Prest. (m2 /jaar) werkdagen]]</f>
        <v>2800</v>
      </c>
      <c r="AF96" s="82">
        <f>Ruimtestaat[[#This Row],[uren / jaar weekend]]+Ruimtestaat[[#This Row],[uren / jaar werkdagen]]</f>
        <v>0</v>
      </c>
      <c r="AG96" s="83">
        <f>Ruimtestaat[[#This Row],[kosten / jaar weekend]]+Ruimtestaat[[#This Row],[kosten / jaar werkdagen]]</f>
        <v>0</v>
      </c>
      <c r="AH96" s="117"/>
      <c r="HL96" s="87"/>
    </row>
    <row r="97" spans="1:220" ht="15" customHeight="1">
      <c r="A97" s="136">
        <v>1</v>
      </c>
      <c r="B97" s="27" t="str">
        <f>VLOOKUP(Ruimtestaat[[#This Row],[Code]],Locaties[#All],2,FALSE)</f>
        <v>Amstelveen College</v>
      </c>
      <c r="C97" s="27" t="str">
        <f>VLOOKUP(Ruimtestaat[[#This Row],[Code]],Locaties[#All],4,FALSE)</f>
        <v>Sportlaan 27</v>
      </c>
      <c r="D97" s="27" t="str">
        <f>VLOOKUP(Ruimtestaat[[#This Row],[Code]],Locaties[#All],5,FALSE)</f>
        <v>1185 TB</v>
      </c>
      <c r="E97" s="27" t="str">
        <f>VLOOKUP(Ruimtestaat[[#This Row],[Code]],Locaties[#All],6,FALSE)</f>
        <v>Amstelveen</v>
      </c>
      <c r="F97" s="74"/>
      <c r="G97" s="27" t="s">
        <v>272</v>
      </c>
      <c r="H97" s="35">
        <v>1012</v>
      </c>
      <c r="I97" s="24" t="s">
        <v>376</v>
      </c>
      <c r="J97" s="27">
        <v>2</v>
      </c>
      <c r="K97" s="74" t="str">
        <f>VLOOKUP(J97,Ruimtegroepen[],2,FALSE)</f>
        <v>Kantoren</v>
      </c>
      <c r="L97" s="27" t="s">
        <v>113</v>
      </c>
      <c r="M97" s="27" t="s">
        <v>39</v>
      </c>
      <c r="N97" s="107">
        <v>39</v>
      </c>
      <c r="O97" s="107"/>
      <c r="P97" s="118" t="str">
        <f>LEFT(VLOOKUP(Ruimtestaat[[#This Row],[Ruimte code]],Ruimtegroepen[#All],4,1),2)</f>
        <v xml:space="preserve">B </v>
      </c>
      <c r="Q97" s="118"/>
      <c r="R97" s="108">
        <v>42</v>
      </c>
      <c r="S97" s="109" t="s">
        <v>15</v>
      </c>
      <c r="T97" s="110">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97" s="110">
        <f>IF(T97&gt;0,VLOOKUP($J97,Ruimtegroepen[],3,FALSE)*VLOOKUP($L97,Vloersoorten[],3,FALSE)*VLOOKUP($S97,Frequenties[],3,FALSE)*VLOOKUP($A97,Locaties[],3,FALSE),0)</f>
        <v>0</v>
      </c>
      <c r="V97" s="111">
        <f>Ruimtestaat[[#This Row],[Uitvoeringen werkdagen]]*Ruimtestaat[[#This Row],[Oppervlak (netto)]]</f>
        <v>1638</v>
      </c>
      <c r="W97" s="112">
        <f>IF(U97&gt;0,Ruimtestaat[[#This Row],[Prest. (m2 /jaar) werkdagen]]/Ruimtestaat[[#This Row],[Norm (m2/uur) werkdagen]],0)</f>
        <v>0</v>
      </c>
      <c r="X97" s="113">
        <f>Ruimtestaat[[#This Row],[uren / jaar werkdagen]]*Tariefsopbouw!$E$35</f>
        <v>0</v>
      </c>
      <c r="Y97" s="110"/>
      <c r="Z97" s="114">
        <f>IF(Ruimtestaat[[#This Row],[Frequentie weekend]]&gt;0,VALUE(LEFT(Y97,1))*R97,0)</f>
        <v>0</v>
      </c>
      <c r="AA97" s="110">
        <f>IF($Z97&gt;0,VLOOKUP($J97,Ruimtegroepen[],3,FALSE)*VLOOKUP($L97,Vloersoorten[],3,FALSE)*VLOOKUP($Y97,Frequenties[],3,FALSE)*VLOOKUP($A93,Locaties[],3,FALSE),0)</f>
        <v>0</v>
      </c>
      <c r="AB97" s="112">
        <f>Ruimtestaat[[#This Row],[Uitvoeringen weekend]]*Ruimtestaat[[#This Row],[Oppervlak (netto)]]</f>
        <v>0</v>
      </c>
      <c r="AC97" s="115">
        <f>IF(AB97&gt;0,Ruimtestaat[[#This Row],[Prest. (m2 /jaar) weekend]]/Ruimtestaat[[#This Row],[Norm (m2/uur) weekend]],0)</f>
        <v>0</v>
      </c>
      <c r="AD97" s="116">
        <f>Ruimtestaat[[#This Row],[uren / jaar weekend]]*Tariefsopbouw!$D$40</f>
        <v>0</v>
      </c>
      <c r="AE97" s="82">
        <f>Ruimtestaat[[#This Row],[Prest. (m2 /jaar) weekend]]+Ruimtestaat[[#This Row],[Prest. (m2 /jaar) werkdagen]]</f>
        <v>1638</v>
      </c>
      <c r="AF97" s="82">
        <f>Ruimtestaat[[#This Row],[uren / jaar weekend]]+Ruimtestaat[[#This Row],[uren / jaar werkdagen]]</f>
        <v>0</v>
      </c>
      <c r="AG97" s="83">
        <f>Ruimtestaat[[#This Row],[kosten / jaar weekend]]+Ruimtestaat[[#This Row],[kosten / jaar werkdagen]]</f>
        <v>0</v>
      </c>
      <c r="AH97" s="117"/>
      <c r="HL97" s="87"/>
    </row>
    <row r="98" spans="1:220" ht="15" customHeight="1">
      <c r="A98" s="136">
        <v>1</v>
      </c>
      <c r="B98" s="27" t="str">
        <f>VLOOKUP(Ruimtestaat[[#This Row],[Code]],Locaties[#All],2,FALSE)</f>
        <v>Amstelveen College</v>
      </c>
      <c r="C98" s="27" t="str">
        <f>VLOOKUP(Ruimtestaat[[#This Row],[Code]],Locaties[#All],4,FALSE)</f>
        <v>Sportlaan 27</v>
      </c>
      <c r="D98" s="27" t="str">
        <f>VLOOKUP(Ruimtestaat[[#This Row],[Code]],Locaties[#All],5,FALSE)</f>
        <v>1185 TB</v>
      </c>
      <c r="E98" s="27" t="str">
        <f>VLOOKUP(Ruimtestaat[[#This Row],[Code]],Locaties[#All],6,FALSE)</f>
        <v>Amstelveen</v>
      </c>
      <c r="F98" s="74"/>
      <c r="G98" s="27" t="s">
        <v>272</v>
      </c>
      <c r="H98" s="35">
        <v>1006</v>
      </c>
      <c r="I98" s="24" t="s">
        <v>412</v>
      </c>
      <c r="J98" s="27">
        <v>8</v>
      </c>
      <c r="K98" s="74" t="str">
        <f>VLOOKUP(J98,Ruimtegroepen[],2,FALSE)</f>
        <v>Mediatheek / OLC</v>
      </c>
      <c r="L98" s="27" t="s">
        <v>114</v>
      </c>
      <c r="M98" s="27" t="s">
        <v>139</v>
      </c>
      <c r="N98" s="107">
        <v>161</v>
      </c>
      <c r="O98" s="107"/>
      <c r="P98" s="118" t="str">
        <f>LEFT(VLOOKUP(Ruimtestaat[[#This Row],[Ruimte code]],Ruimtegroepen[#All],4,1),2)</f>
        <v xml:space="preserve">L </v>
      </c>
      <c r="Q98" s="118"/>
      <c r="R98" s="108">
        <v>40</v>
      </c>
      <c r="S98" s="109" t="s">
        <v>18</v>
      </c>
      <c r="T98" s="110">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98" s="110">
        <f>IF(T98&gt;0,VLOOKUP($J98,Ruimtegroepen[],3,FALSE)*VLOOKUP($L98,Vloersoorten[],3,FALSE)*VLOOKUP($S98,Frequenties[],3,FALSE)*VLOOKUP($A98,Locaties[],3,FALSE),0)</f>
        <v>0</v>
      </c>
      <c r="V98" s="111">
        <f>Ruimtestaat[[#This Row],[Uitvoeringen werkdagen]]*Ruimtestaat[[#This Row],[Oppervlak (netto)]]</f>
        <v>19320</v>
      </c>
      <c r="W98" s="112">
        <f>IF(U98&gt;0,Ruimtestaat[[#This Row],[Prest. (m2 /jaar) werkdagen]]/Ruimtestaat[[#This Row],[Norm (m2/uur) werkdagen]],0)</f>
        <v>0</v>
      </c>
      <c r="X98" s="113">
        <f>Ruimtestaat[[#This Row],[uren / jaar werkdagen]]*Tariefsopbouw!$E$35</f>
        <v>0</v>
      </c>
      <c r="Y98" s="110"/>
      <c r="Z98" s="114">
        <f>IF(Ruimtestaat[[#This Row],[Frequentie weekend]]&gt;0,VALUE(LEFT(Y98,1))*R98,0)</f>
        <v>0</v>
      </c>
      <c r="AA98" s="110">
        <f>IF($Z98&gt;0,VLOOKUP($J98,Ruimtegroepen[],3,FALSE)*VLOOKUP($L98,Vloersoorten[],3,FALSE)*VLOOKUP($Y98,Frequenties[],3,FALSE)*VLOOKUP($A94,Locaties[],3,FALSE),0)</f>
        <v>0</v>
      </c>
      <c r="AB98" s="112">
        <f>Ruimtestaat[[#This Row],[Uitvoeringen weekend]]*Ruimtestaat[[#This Row],[Oppervlak (netto)]]</f>
        <v>0</v>
      </c>
      <c r="AC98" s="115">
        <f>IF(AB98&gt;0,Ruimtestaat[[#This Row],[Prest. (m2 /jaar) weekend]]/Ruimtestaat[[#This Row],[Norm (m2/uur) weekend]],0)</f>
        <v>0</v>
      </c>
      <c r="AD98" s="116">
        <f>Ruimtestaat[[#This Row],[uren / jaar weekend]]*Tariefsopbouw!$D$40</f>
        <v>0</v>
      </c>
      <c r="AE98" s="82">
        <f>Ruimtestaat[[#This Row],[Prest. (m2 /jaar) weekend]]+Ruimtestaat[[#This Row],[Prest. (m2 /jaar) werkdagen]]</f>
        <v>19320</v>
      </c>
      <c r="AF98" s="82">
        <f>Ruimtestaat[[#This Row],[uren / jaar weekend]]+Ruimtestaat[[#This Row],[uren / jaar werkdagen]]</f>
        <v>0</v>
      </c>
      <c r="AG98" s="83">
        <f>Ruimtestaat[[#This Row],[kosten / jaar weekend]]+Ruimtestaat[[#This Row],[kosten / jaar werkdagen]]</f>
        <v>0</v>
      </c>
      <c r="AH98" s="117"/>
      <c r="HL98" s="87"/>
    </row>
    <row r="99" spans="1:220" ht="15" customHeight="1">
      <c r="A99" s="136">
        <v>1</v>
      </c>
      <c r="B99" s="27" t="str">
        <f>VLOOKUP(Ruimtestaat[[#This Row],[Code]],Locaties[#All],2,FALSE)</f>
        <v>Amstelveen College</v>
      </c>
      <c r="C99" s="27" t="str">
        <f>VLOOKUP(Ruimtestaat[[#This Row],[Code]],Locaties[#All],4,FALSE)</f>
        <v>Sportlaan 27</v>
      </c>
      <c r="D99" s="27" t="str">
        <f>VLOOKUP(Ruimtestaat[[#This Row],[Code]],Locaties[#All],5,FALSE)</f>
        <v>1185 TB</v>
      </c>
      <c r="E99" s="27" t="str">
        <f>VLOOKUP(Ruimtestaat[[#This Row],[Code]],Locaties[#All],6,FALSE)</f>
        <v>Amstelveen</v>
      </c>
      <c r="F99" s="74"/>
      <c r="G99" s="27" t="s">
        <v>272</v>
      </c>
      <c r="H99" s="35">
        <v>1011</v>
      </c>
      <c r="I99" s="24" t="s">
        <v>368</v>
      </c>
      <c r="J99" s="27">
        <v>16</v>
      </c>
      <c r="K99" s="74" t="str">
        <f>VLOOKUP(J99,Ruimtegroepen[],2,FALSE)</f>
        <v>Leslokalen theorie</v>
      </c>
      <c r="L99" s="27" t="s">
        <v>114</v>
      </c>
      <c r="M99" s="27" t="s">
        <v>139</v>
      </c>
      <c r="N99" s="107">
        <v>27</v>
      </c>
      <c r="O99" s="107"/>
      <c r="P99" s="118" t="str">
        <f>LEFT(VLOOKUP(Ruimtestaat[[#This Row],[Ruimte code]],Ruimtegroepen[#All],4,1),2)</f>
        <v xml:space="preserve">L </v>
      </c>
      <c r="Q99" s="118"/>
      <c r="R99" s="108">
        <v>40</v>
      </c>
      <c r="S99" s="109" t="s">
        <v>18</v>
      </c>
      <c r="T99" s="110">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99" s="110">
        <f>IF(T99&gt;0,VLOOKUP($J99,Ruimtegroepen[],3,FALSE)*VLOOKUP($L99,Vloersoorten[],3,FALSE)*VLOOKUP($S99,Frequenties[],3,FALSE)*VLOOKUP($A99,Locaties[],3,FALSE),0)</f>
        <v>0</v>
      </c>
      <c r="V99" s="111">
        <f>Ruimtestaat[[#This Row],[Uitvoeringen werkdagen]]*Ruimtestaat[[#This Row],[Oppervlak (netto)]]</f>
        <v>3240</v>
      </c>
      <c r="W99" s="112">
        <f>IF(U99&gt;0,Ruimtestaat[[#This Row],[Prest. (m2 /jaar) werkdagen]]/Ruimtestaat[[#This Row],[Norm (m2/uur) werkdagen]],0)</f>
        <v>0</v>
      </c>
      <c r="X99" s="113">
        <f>Ruimtestaat[[#This Row],[uren / jaar werkdagen]]*Tariefsopbouw!$E$35</f>
        <v>0</v>
      </c>
      <c r="Y99" s="110"/>
      <c r="Z99" s="114">
        <f>IF(Ruimtestaat[[#This Row],[Frequentie weekend]]&gt;0,VALUE(LEFT(Y99,1))*R99,0)</f>
        <v>0</v>
      </c>
      <c r="AA99" s="110">
        <f>IF($Z99&gt;0,VLOOKUP($J99,Ruimtegroepen[],3,FALSE)*VLOOKUP($L99,Vloersoorten[],3,FALSE)*VLOOKUP($Y99,Frequenties[],3,FALSE)*VLOOKUP($A95,Locaties[],3,FALSE),0)</f>
        <v>0</v>
      </c>
      <c r="AB99" s="112">
        <f>Ruimtestaat[[#This Row],[Uitvoeringen weekend]]*Ruimtestaat[[#This Row],[Oppervlak (netto)]]</f>
        <v>0</v>
      </c>
      <c r="AC99" s="115">
        <f>IF(AB99&gt;0,Ruimtestaat[[#This Row],[Prest. (m2 /jaar) weekend]]/Ruimtestaat[[#This Row],[Norm (m2/uur) weekend]],0)</f>
        <v>0</v>
      </c>
      <c r="AD99" s="116">
        <f>Ruimtestaat[[#This Row],[uren / jaar weekend]]*Tariefsopbouw!$D$40</f>
        <v>0</v>
      </c>
      <c r="AE99" s="82">
        <f>Ruimtestaat[[#This Row],[Prest. (m2 /jaar) weekend]]+Ruimtestaat[[#This Row],[Prest. (m2 /jaar) werkdagen]]</f>
        <v>3240</v>
      </c>
      <c r="AF99" s="82">
        <f>Ruimtestaat[[#This Row],[uren / jaar weekend]]+Ruimtestaat[[#This Row],[uren / jaar werkdagen]]</f>
        <v>0</v>
      </c>
      <c r="AG99" s="83">
        <f>Ruimtestaat[[#This Row],[kosten / jaar weekend]]+Ruimtestaat[[#This Row],[kosten / jaar werkdagen]]</f>
        <v>0</v>
      </c>
      <c r="AH99" s="117"/>
      <c r="HL99" s="87"/>
    </row>
    <row r="100" spans="1:220" ht="15" customHeight="1">
      <c r="A100" s="136">
        <v>1</v>
      </c>
      <c r="B100" s="27" t="str">
        <f>VLOOKUP(Ruimtestaat[[#This Row],[Code]],Locaties[#All],2,FALSE)</f>
        <v>Amstelveen College</v>
      </c>
      <c r="C100" s="27" t="str">
        <f>VLOOKUP(Ruimtestaat[[#This Row],[Code]],Locaties[#All],4,FALSE)</f>
        <v>Sportlaan 27</v>
      </c>
      <c r="D100" s="27" t="str">
        <f>VLOOKUP(Ruimtestaat[[#This Row],[Code]],Locaties[#All],5,FALSE)</f>
        <v>1185 TB</v>
      </c>
      <c r="E100" s="27" t="str">
        <f>VLOOKUP(Ruimtestaat[[#This Row],[Code]],Locaties[#All],6,FALSE)</f>
        <v>Amstelveen</v>
      </c>
      <c r="F100" s="74"/>
      <c r="G100" s="27" t="s">
        <v>272</v>
      </c>
      <c r="H100" s="35">
        <v>1013</v>
      </c>
      <c r="I100" s="24" t="s">
        <v>367</v>
      </c>
      <c r="J100" s="27">
        <v>20</v>
      </c>
      <c r="K100" s="74" t="str">
        <f>VLOOKUP(J100,Ruimtegroepen[],2,FALSE)</f>
        <v>Niet in onderhoud</v>
      </c>
      <c r="M100" s="27"/>
      <c r="N100" s="107"/>
      <c r="O100" s="107">
        <v>12</v>
      </c>
      <c r="P100" s="118" t="str">
        <f>LEFT(VLOOKUP(Ruimtestaat[[#This Row],[Ruimte code]],Ruimtegroepen[#All],4,1),2)</f>
        <v/>
      </c>
      <c r="Q100" s="118"/>
      <c r="R100" s="108"/>
      <c r="S100" s="109"/>
      <c r="T100" s="110">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0" s="110">
        <f>IF(T100&gt;0,VLOOKUP($J100,Ruimtegroepen[],3,FALSE)*VLOOKUP($L100,Vloersoorten[],3,FALSE)*VLOOKUP($S100,Frequenties[],3,FALSE)*VLOOKUP($A100,Locaties[],3,FALSE),0)</f>
        <v>0</v>
      </c>
      <c r="V100" s="111">
        <f>Ruimtestaat[[#This Row],[Uitvoeringen werkdagen]]*Ruimtestaat[[#This Row],[Oppervlak (netto)]]</f>
        <v>0</v>
      </c>
      <c r="W100" s="112">
        <f>IF(U100&gt;0,Ruimtestaat[[#This Row],[Prest. (m2 /jaar) werkdagen]]/Ruimtestaat[[#This Row],[Norm (m2/uur) werkdagen]],0)</f>
        <v>0</v>
      </c>
      <c r="X100" s="113">
        <f>Ruimtestaat[[#This Row],[uren / jaar werkdagen]]*Tariefsopbouw!$E$35</f>
        <v>0</v>
      </c>
      <c r="Y100" s="110"/>
      <c r="Z100" s="114">
        <f>IF(Ruimtestaat[[#This Row],[Frequentie weekend]]&gt;0,VALUE(LEFT(Y100,1))*R100,0)</f>
        <v>0</v>
      </c>
      <c r="AA100" s="110">
        <f>IF($Z100&gt;0,VLOOKUP($J100,Ruimtegroepen[],3,FALSE)*VLOOKUP($L100,Vloersoorten[],3,FALSE)*VLOOKUP($Y100,Frequenties[],3,FALSE)*VLOOKUP($A96,Locaties[],3,FALSE),0)</f>
        <v>0</v>
      </c>
      <c r="AB100" s="112">
        <f>Ruimtestaat[[#This Row],[Uitvoeringen weekend]]*Ruimtestaat[[#This Row],[Oppervlak (netto)]]</f>
        <v>0</v>
      </c>
      <c r="AC100" s="115">
        <f>IF(AB100&gt;0,Ruimtestaat[[#This Row],[Prest. (m2 /jaar) weekend]]/Ruimtestaat[[#This Row],[Norm (m2/uur) weekend]],0)</f>
        <v>0</v>
      </c>
      <c r="AD100" s="116">
        <f>Ruimtestaat[[#This Row],[uren / jaar weekend]]*Tariefsopbouw!$D$40</f>
        <v>0</v>
      </c>
      <c r="AE100" s="82">
        <f>Ruimtestaat[[#This Row],[Prest. (m2 /jaar) weekend]]+Ruimtestaat[[#This Row],[Prest. (m2 /jaar) werkdagen]]</f>
        <v>0</v>
      </c>
      <c r="AF100" s="82">
        <f>Ruimtestaat[[#This Row],[uren / jaar weekend]]+Ruimtestaat[[#This Row],[uren / jaar werkdagen]]</f>
        <v>0</v>
      </c>
      <c r="AG100" s="83">
        <f>Ruimtestaat[[#This Row],[kosten / jaar weekend]]+Ruimtestaat[[#This Row],[kosten / jaar werkdagen]]</f>
        <v>0</v>
      </c>
      <c r="AH100" s="117"/>
      <c r="HL100" s="87"/>
    </row>
    <row r="101" spans="1:220" ht="15" customHeight="1">
      <c r="A101" s="136">
        <v>1</v>
      </c>
      <c r="B101" s="27" t="str">
        <f>VLOOKUP(Ruimtestaat[[#This Row],[Code]],Locaties[#All],2,FALSE)</f>
        <v>Amstelveen College</v>
      </c>
      <c r="C101" s="27" t="str">
        <f>VLOOKUP(Ruimtestaat[[#This Row],[Code]],Locaties[#All],4,FALSE)</f>
        <v>Sportlaan 27</v>
      </c>
      <c r="D101" s="27" t="str">
        <f>VLOOKUP(Ruimtestaat[[#This Row],[Code]],Locaties[#All],5,FALSE)</f>
        <v>1185 TB</v>
      </c>
      <c r="E101" s="27" t="str">
        <f>VLOOKUP(Ruimtestaat[[#This Row],[Code]],Locaties[#All],6,FALSE)</f>
        <v>Amstelveen</v>
      </c>
      <c r="F101" s="74"/>
      <c r="G101" s="27" t="s">
        <v>272</v>
      </c>
      <c r="H101" s="35">
        <v>1008</v>
      </c>
      <c r="I101" s="24" t="s">
        <v>514</v>
      </c>
      <c r="J101" s="27">
        <v>2</v>
      </c>
      <c r="K101" s="74" t="str">
        <f>VLOOKUP(J101,Ruimtegroepen[],2,FALSE)</f>
        <v>Kantoren</v>
      </c>
      <c r="L101" s="27" t="s">
        <v>113</v>
      </c>
      <c r="M101" s="27" t="s">
        <v>39</v>
      </c>
      <c r="N101" s="107">
        <v>16</v>
      </c>
      <c r="O101" s="107"/>
      <c r="P101" s="118" t="str">
        <f>LEFT(VLOOKUP(Ruimtestaat[[#This Row],[Ruimte code]],Ruimtegroepen[#All],4,1),2)</f>
        <v xml:space="preserve">B </v>
      </c>
      <c r="Q101" s="118"/>
      <c r="R101" s="108">
        <v>42</v>
      </c>
      <c r="S101" s="109" t="s">
        <v>15</v>
      </c>
      <c r="T101" s="110">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01" s="110">
        <f>IF(T101&gt;0,VLOOKUP($J101,Ruimtegroepen[],3,FALSE)*VLOOKUP($L101,Vloersoorten[],3,FALSE)*VLOOKUP($S101,Frequenties[],3,FALSE)*VLOOKUP($A101,Locaties[],3,FALSE),0)</f>
        <v>0</v>
      </c>
      <c r="V101" s="111">
        <f>Ruimtestaat[[#This Row],[Uitvoeringen werkdagen]]*Ruimtestaat[[#This Row],[Oppervlak (netto)]]</f>
        <v>672</v>
      </c>
      <c r="W101" s="112">
        <f>IF(U101&gt;0,Ruimtestaat[[#This Row],[Prest. (m2 /jaar) werkdagen]]/Ruimtestaat[[#This Row],[Norm (m2/uur) werkdagen]],0)</f>
        <v>0</v>
      </c>
      <c r="X101" s="113">
        <f>Ruimtestaat[[#This Row],[uren / jaar werkdagen]]*Tariefsopbouw!$E$35</f>
        <v>0</v>
      </c>
      <c r="Y101" s="110"/>
      <c r="Z101" s="114">
        <f>IF(Ruimtestaat[[#This Row],[Frequentie weekend]]&gt;0,VALUE(LEFT(Y101,1))*R101,0)</f>
        <v>0</v>
      </c>
      <c r="AA101" s="110">
        <f>IF($Z101&gt;0,VLOOKUP($J101,Ruimtegroepen[],3,FALSE)*VLOOKUP($L101,Vloersoorten[],3,FALSE)*VLOOKUP($Y101,Frequenties[],3,FALSE)*VLOOKUP($A97,Locaties[],3,FALSE),0)</f>
        <v>0</v>
      </c>
      <c r="AB101" s="112">
        <f>Ruimtestaat[[#This Row],[Uitvoeringen weekend]]*Ruimtestaat[[#This Row],[Oppervlak (netto)]]</f>
        <v>0</v>
      </c>
      <c r="AC101" s="115">
        <f>IF(AB101&gt;0,Ruimtestaat[[#This Row],[Prest. (m2 /jaar) weekend]]/Ruimtestaat[[#This Row],[Norm (m2/uur) weekend]],0)</f>
        <v>0</v>
      </c>
      <c r="AD101" s="116">
        <f>Ruimtestaat[[#This Row],[uren / jaar weekend]]*Tariefsopbouw!$D$40</f>
        <v>0</v>
      </c>
      <c r="AE101" s="82">
        <f>Ruimtestaat[[#This Row],[Prest. (m2 /jaar) weekend]]+Ruimtestaat[[#This Row],[Prest. (m2 /jaar) werkdagen]]</f>
        <v>672</v>
      </c>
      <c r="AF101" s="82">
        <f>Ruimtestaat[[#This Row],[uren / jaar weekend]]+Ruimtestaat[[#This Row],[uren / jaar werkdagen]]</f>
        <v>0</v>
      </c>
      <c r="AG101" s="83">
        <f>Ruimtestaat[[#This Row],[kosten / jaar weekend]]+Ruimtestaat[[#This Row],[kosten / jaar werkdagen]]</f>
        <v>0</v>
      </c>
      <c r="AH101" s="117"/>
      <c r="HL101" s="87"/>
    </row>
    <row r="102" spans="1:220" ht="15" customHeight="1">
      <c r="A102" s="136">
        <v>1</v>
      </c>
      <c r="B102" s="27" t="str">
        <f>VLOOKUP(Ruimtestaat[[#This Row],[Code]],Locaties[#All],2,FALSE)</f>
        <v>Amstelveen College</v>
      </c>
      <c r="C102" s="27" t="str">
        <f>VLOOKUP(Ruimtestaat[[#This Row],[Code]],Locaties[#All],4,FALSE)</f>
        <v>Sportlaan 27</v>
      </c>
      <c r="D102" s="27" t="str">
        <f>VLOOKUP(Ruimtestaat[[#This Row],[Code]],Locaties[#All],5,FALSE)</f>
        <v>1185 TB</v>
      </c>
      <c r="E102" s="27" t="str">
        <f>VLOOKUP(Ruimtestaat[[#This Row],[Code]],Locaties[#All],6,FALSE)</f>
        <v>Amstelveen</v>
      </c>
      <c r="F102" s="74"/>
      <c r="G102" s="27" t="s">
        <v>272</v>
      </c>
      <c r="H102" s="35">
        <v>1009</v>
      </c>
      <c r="I102" s="24" t="s">
        <v>368</v>
      </c>
      <c r="J102" s="27">
        <v>16</v>
      </c>
      <c r="K102" s="74" t="str">
        <f>VLOOKUP(J102,Ruimtegroepen[],2,FALSE)</f>
        <v>Leslokalen theorie</v>
      </c>
      <c r="L102" s="27" t="s">
        <v>114</v>
      </c>
      <c r="M102" s="27" t="s">
        <v>139</v>
      </c>
      <c r="N102" s="107">
        <v>58</v>
      </c>
      <c r="O102" s="107"/>
      <c r="P102" s="118" t="str">
        <f>LEFT(VLOOKUP(Ruimtestaat[[#This Row],[Ruimte code]],Ruimtegroepen[#All],4,1),2)</f>
        <v xml:space="preserve">L </v>
      </c>
      <c r="Q102" s="118"/>
      <c r="R102" s="108">
        <v>40</v>
      </c>
      <c r="S102" s="109" t="s">
        <v>18</v>
      </c>
      <c r="T102" s="110">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2" s="110">
        <f>IF(T102&gt;0,VLOOKUP($J102,Ruimtegroepen[],3,FALSE)*VLOOKUP($L102,Vloersoorten[],3,FALSE)*VLOOKUP($S102,Frequenties[],3,FALSE)*VLOOKUP($A102,Locaties[],3,FALSE),0)</f>
        <v>0</v>
      </c>
      <c r="V102" s="111">
        <f>Ruimtestaat[[#This Row],[Uitvoeringen werkdagen]]*Ruimtestaat[[#This Row],[Oppervlak (netto)]]</f>
        <v>6960</v>
      </c>
      <c r="W102" s="112">
        <f>IF(U102&gt;0,Ruimtestaat[[#This Row],[Prest. (m2 /jaar) werkdagen]]/Ruimtestaat[[#This Row],[Norm (m2/uur) werkdagen]],0)</f>
        <v>0</v>
      </c>
      <c r="X102" s="113">
        <f>Ruimtestaat[[#This Row],[uren / jaar werkdagen]]*Tariefsopbouw!$E$35</f>
        <v>0</v>
      </c>
      <c r="Y102" s="110"/>
      <c r="Z102" s="114">
        <f>IF(Ruimtestaat[[#This Row],[Frequentie weekend]]&gt;0,VALUE(LEFT(Y102,1))*R102,0)</f>
        <v>0</v>
      </c>
      <c r="AA102" s="110">
        <f>IF($Z102&gt;0,VLOOKUP($J102,Ruimtegroepen[],3,FALSE)*VLOOKUP($L102,Vloersoorten[],3,FALSE)*VLOOKUP($Y102,Frequenties[],3,FALSE)*VLOOKUP($A96,Locaties[],3,FALSE),0)</f>
        <v>0</v>
      </c>
      <c r="AB102" s="112">
        <f>Ruimtestaat[[#This Row],[Uitvoeringen weekend]]*Ruimtestaat[[#This Row],[Oppervlak (netto)]]</f>
        <v>0</v>
      </c>
      <c r="AC102" s="115">
        <f>IF(AB102&gt;0,Ruimtestaat[[#This Row],[Prest. (m2 /jaar) weekend]]/Ruimtestaat[[#This Row],[Norm (m2/uur) weekend]],0)</f>
        <v>0</v>
      </c>
      <c r="AD102" s="116">
        <f>Ruimtestaat[[#This Row],[uren / jaar weekend]]*Tariefsopbouw!$D$40</f>
        <v>0</v>
      </c>
      <c r="AE102" s="82">
        <f>Ruimtestaat[[#This Row],[Prest. (m2 /jaar) weekend]]+Ruimtestaat[[#This Row],[Prest. (m2 /jaar) werkdagen]]</f>
        <v>6960</v>
      </c>
      <c r="AF102" s="82">
        <f>Ruimtestaat[[#This Row],[uren / jaar weekend]]+Ruimtestaat[[#This Row],[uren / jaar werkdagen]]</f>
        <v>0</v>
      </c>
      <c r="AG102" s="83">
        <f>Ruimtestaat[[#This Row],[kosten / jaar weekend]]+Ruimtestaat[[#This Row],[kosten / jaar werkdagen]]</f>
        <v>0</v>
      </c>
      <c r="AH102" s="117"/>
      <c r="HL102" s="87"/>
    </row>
    <row r="103" spans="1:220" ht="15" customHeight="1">
      <c r="A103" s="136">
        <v>1</v>
      </c>
      <c r="B103" s="27" t="str">
        <f>VLOOKUP(Ruimtestaat[[#This Row],[Code]],Locaties[#All],2,FALSE)</f>
        <v>Amstelveen College</v>
      </c>
      <c r="C103" s="27" t="str">
        <f>VLOOKUP(Ruimtestaat[[#This Row],[Code]],Locaties[#All],4,FALSE)</f>
        <v>Sportlaan 27</v>
      </c>
      <c r="D103" s="27" t="str">
        <f>VLOOKUP(Ruimtestaat[[#This Row],[Code]],Locaties[#All],5,FALSE)</f>
        <v>1185 TB</v>
      </c>
      <c r="E103" s="27" t="str">
        <f>VLOOKUP(Ruimtestaat[[#This Row],[Code]],Locaties[#All],6,FALSE)</f>
        <v>Amstelveen</v>
      </c>
      <c r="F103" s="74"/>
      <c r="G103" s="27" t="s">
        <v>272</v>
      </c>
      <c r="H103" s="35">
        <v>1007</v>
      </c>
      <c r="I103" s="24" t="s">
        <v>515</v>
      </c>
      <c r="J103" s="27">
        <v>16</v>
      </c>
      <c r="K103" s="74" t="str">
        <f>VLOOKUP(J103,Ruimtegroepen[],2,FALSE)</f>
        <v>Leslokalen theorie</v>
      </c>
      <c r="L103" s="27" t="s">
        <v>114</v>
      </c>
      <c r="M103" s="27" t="s">
        <v>139</v>
      </c>
      <c r="N103" s="107">
        <v>28</v>
      </c>
      <c r="O103" s="107"/>
      <c r="P103" s="118" t="str">
        <f>LEFT(VLOOKUP(Ruimtestaat[[#This Row],[Ruimte code]],Ruimtegroepen[#All],4,1),2)</f>
        <v xml:space="preserve">L </v>
      </c>
      <c r="Q103" s="118"/>
      <c r="R103" s="108">
        <v>40</v>
      </c>
      <c r="S103" s="109" t="s">
        <v>18</v>
      </c>
      <c r="T103" s="110">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3" s="110">
        <f>IF(T103&gt;0,VLOOKUP($J103,Ruimtegroepen[],3,FALSE)*VLOOKUP($L103,Vloersoorten[],3,FALSE)*VLOOKUP($S103,Frequenties[],3,FALSE)*VLOOKUP($A103,Locaties[],3,FALSE),0)</f>
        <v>0</v>
      </c>
      <c r="V103" s="111">
        <f>Ruimtestaat[[#This Row],[Uitvoeringen werkdagen]]*Ruimtestaat[[#This Row],[Oppervlak (netto)]]</f>
        <v>3360</v>
      </c>
      <c r="W103" s="112">
        <f>IF(U103&gt;0,Ruimtestaat[[#This Row],[Prest. (m2 /jaar) werkdagen]]/Ruimtestaat[[#This Row],[Norm (m2/uur) werkdagen]],0)</f>
        <v>0</v>
      </c>
      <c r="X103" s="113">
        <f>Ruimtestaat[[#This Row],[uren / jaar werkdagen]]*Tariefsopbouw!$E$35</f>
        <v>0</v>
      </c>
      <c r="Y103" s="110"/>
      <c r="Z103" s="114">
        <f>IF(Ruimtestaat[[#This Row],[Frequentie weekend]]&gt;0,VALUE(LEFT(Y103,1))*R103,0)</f>
        <v>0</v>
      </c>
      <c r="AA103" s="110">
        <f>IF($Z103&gt;0,VLOOKUP($J103,Ruimtegroepen[],3,FALSE)*VLOOKUP($L103,Vloersoorten[],3,FALSE)*VLOOKUP($Y103,Frequenties[],3,FALSE)*VLOOKUP($A97,Locaties[],3,FALSE),0)</f>
        <v>0</v>
      </c>
      <c r="AB103" s="112">
        <f>Ruimtestaat[[#This Row],[Uitvoeringen weekend]]*Ruimtestaat[[#This Row],[Oppervlak (netto)]]</f>
        <v>0</v>
      </c>
      <c r="AC103" s="115">
        <f>IF(AB103&gt;0,Ruimtestaat[[#This Row],[Prest. (m2 /jaar) weekend]]/Ruimtestaat[[#This Row],[Norm (m2/uur) weekend]],0)</f>
        <v>0</v>
      </c>
      <c r="AD103" s="116">
        <f>Ruimtestaat[[#This Row],[uren / jaar weekend]]*Tariefsopbouw!$D$40</f>
        <v>0</v>
      </c>
      <c r="AE103" s="82">
        <f>Ruimtestaat[[#This Row],[Prest. (m2 /jaar) weekend]]+Ruimtestaat[[#This Row],[Prest. (m2 /jaar) werkdagen]]</f>
        <v>3360</v>
      </c>
      <c r="AF103" s="82">
        <f>Ruimtestaat[[#This Row],[uren / jaar weekend]]+Ruimtestaat[[#This Row],[uren / jaar werkdagen]]</f>
        <v>0</v>
      </c>
      <c r="AG103" s="83">
        <f>Ruimtestaat[[#This Row],[kosten / jaar weekend]]+Ruimtestaat[[#This Row],[kosten / jaar werkdagen]]</f>
        <v>0</v>
      </c>
      <c r="AH103" s="117"/>
      <c r="HL103" s="87"/>
    </row>
    <row r="104" spans="1:220" ht="15" customHeight="1">
      <c r="A104" s="136">
        <v>1</v>
      </c>
      <c r="B104" s="27" t="str">
        <f>VLOOKUP(Ruimtestaat[[#This Row],[Code]],Locaties[#All],2,FALSE)</f>
        <v>Amstelveen College</v>
      </c>
      <c r="C104" s="27" t="str">
        <f>VLOOKUP(Ruimtestaat[[#This Row],[Code]],Locaties[#All],4,FALSE)</f>
        <v>Sportlaan 27</v>
      </c>
      <c r="D104" s="27" t="str">
        <f>VLOOKUP(Ruimtestaat[[#This Row],[Code]],Locaties[#All],5,FALSE)</f>
        <v>1185 TB</v>
      </c>
      <c r="E104" s="27" t="str">
        <f>VLOOKUP(Ruimtestaat[[#This Row],[Code]],Locaties[#All],6,FALSE)</f>
        <v>Amstelveen</v>
      </c>
      <c r="F104" s="74"/>
      <c r="G104" s="27" t="s">
        <v>272</v>
      </c>
      <c r="H104" s="35" t="s">
        <v>516</v>
      </c>
      <c r="I104" s="24" t="s">
        <v>432</v>
      </c>
      <c r="J104" s="27">
        <v>10</v>
      </c>
      <c r="K104" s="74" t="str">
        <f>VLOOKUP(J104,Ruimtegroepen[],2,FALSE)</f>
        <v>Trappenhuizen/lift</v>
      </c>
      <c r="L104" s="27" t="s">
        <v>115</v>
      </c>
      <c r="M104" s="27" t="s">
        <v>275</v>
      </c>
      <c r="N104" s="107">
        <v>13</v>
      </c>
      <c r="O104" s="107"/>
      <c r="P104" s="118" t="str">
        <f>LEFT(VLOOKUP(Ruimtestaat[[#This Row],[Ruimte code]],Ruimtegroepen[#All],4,1),2)</f>
        <v xml:space="preserve">V </v>
      </c>
      <c r="Q104" s="118"/>
      <c r="R104" s="108">
        <v>40</v>
      </c>
      <c r="S104" s="109" t="s">
        <v>15</v>
      </c>
      <c r="T104" s="110">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04" s="110">
        <f>IF(T104&gt;0,VLOOKUP($J104,Ruimtegroepen[],3,FALSE)*VLOOKUP($L104,Vloersoorten[],3,FALSE)*VLOOKUP($S104,Frequenties[],3,FALSE)*VLOOKUP($A104,Locaties[],3,FALSE),0)</f>
        <v>0</v>
      </c>
      <c r="V104" s="111">
        <f>Ruimtestaat[[#This Row],[Uitvoeringen werkdagen]]*Ruimtestaat[[#This Row],[Oppervlak (netto)]]</f>
        <v>520</v>
      </c>
      <c r="W104" s="112">
        <f>IF(U104&gt;0,Ruimtestaat[[#This Row],[Prest. (m2 /jaar) werkdagen]]/Ruimtestaat[[#This Row],[Norm (m2/uur) werkdagen]],0)</f>
        <v>0</v>
      </c>
      <c r="X104" s="113">
        <f>Ruimtestaat[[#This Row],[uren / jaar werkdagen]]*Tariefsopbouw!$E$35</f>
        <v>0</v>
      </c>
      <c r="Y104" s="110"/>
      <c r="Z104" s="114">
        <f>IF(Ruimtestaat[[#This Row],[Frequentie weekend]]&gt;0,VALUE(LEFT(Y104,1))*R104,0)</f>
        <v>0</v>
      </c>
      <c r="AA104" s="110">
        <f>IF($Z104&gt;0,VLOOKUP($J104,Ruimtegroepen[],3,FALSE)*VLOOKUP($L104,Vloersoorten[],3,FALSE)*VLOOKUP($Y104,Frequenties[],3,FALSE)*VLOOKUP($A98,Locaties[],3,FALSE),0)</f>
        <v>0</v>
      </c>
      <c r="AB104" s="112">
        <f>Ruimtestaat[[#This Row],[Uitvoeringen weekend]]*Ruimtestaat[[#This Row],[Oppervlak (netto)]]</f>
        <v>0</v>
      </c>
      <c r="AC104" s="115">
        <f>IF(AB104&gt;0,Ruimtestaat[[#This Row],[Prest. (m2 /jaar) weekend]]/Ruimtestaat[[#This Row],[Norm (m2/uur) weekend]],0)</f>
        <v>0</v>
      </c>
      <c r="AD104" s="116">
        <f>Ruimtestaat[[#This Row],[uren / jaar weekend]]*Tariefsopbouw!$D$40</f>
        <v>0</v>
      </c>
      <c r="AE104" s="82">
        <f>Ruimtestaat[[#This Row],[Prest. (m2 /jaar) weekend]]+Ruimtestaat[[#This Row],[Prest. (m2 /jaar) werkdagen]]</f>
        <v>520</v>
      </c>
      <c r="AF104" s="82">
        <f>Ruimtestaat[[#This Row],[uren / jaar weekend]]+Ruimtestaat[[#This Row],[uren / jaar werkdagen]]</f>
        <v>0</v>
      </c>
      <c r="AG104" s="83">
        <f>Ruimtestaat[[#This Row],[kosten / jaar weekend]]+Ruimtestaat[[#This Row],[kosten / jaar werkdagen]]</f>
        <v>0</v>
      </c>
      <c r="AH104" s="117"/>
      <c r="HL104" s="87"/>
    </row>
    <row r="105" spans="1:220" ht="15" customHeight="1">
      <c r="A105" s="136">
        <v>1</v>
      </c>
      <c r="B105" s="27" t="str">
        <f>VLOOKUP(Ruimtestaat[[#This Row],[Code]],Locaties[#All],2,FALSE)</f>
        <v>Amstelveen College</v>
      </c>
      <c r="C105" s="27" t="str">
        <f>VLOOKUP(Ruimtestaat[[#This Row],[Code]],Locaties[#All],4,FALSE)</f>
        <v>Sportlaan 27</v>
      </c>
      <c r="D105" s="27" t="str">
        <f>VLOOKUP(Ruimtestaat[[#This Row],[Code]],Locaties[#All],5,FALSE)</f>
        <v>1185 TB</v>
      </c>
      <c r="E105" s="27" t="str">
        <f>VLOOKUP(Ruimtestaat[[#This Row],[Code]],Locaties[#All],6,FALSE)</f>
        <v>Amstelveen</v>
      </c>
      <c r="F105" s="74"/>
      <c r="G105" s="27" t="s">
        <v>272</v>
      </c>
      <c r="H105" s="35">
        <v>1001</v>
      </c>
      <c r="I105" s="24" t="s">
        <v>368</v>
      </c>
      <c r="J105" s="27">
        <v>16</v>
      </c>
      <c r="K105" s="74" t="str">
        <f>VLOOKUP(J105,Ruimtegroepen[],2,FALSE)</f>
        <v>Leslokalen theorie</v>
      </c>
      <c r="L105" s="27" t="s">
        <v>114</v>
      </c>
      <c r="M105" s="27" t="s">
        <v>139</v>
      </c>
      <c r="N105" s="107">
        <v>56</v>
      </c>
      <c r="O105" s="107"/>
      <c r="P105" s="118" t="str">
        <f>LEFT(VLOOKUP(Ruimtestaat[[#This Row],[Ruimte code]],Ruimtegroepen[#All],4,1),2)</f>
        <v xml:space="preserve">L </v>
      </c>
      <c r="Q105" s="118"/>
      <c r="R105" s="108">
        <v>40</v>
      </c>
      <c r="S105" s="109" t="s">
        <v>18</v>
      </c>
      <c r="T105" s="110">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5" s="110">
        <f>IF(T105&gt;0,VLOOKUP($J105,Ruimtegroepen[],3,FALSE)*VLOOKUP($L105,Vloersoorten[],3,FALSE)*VLOOKUP($S105,Frequenties[],3,FALSE)*VLOOKUP($A105,Locaties[],3,FALSE),0)</f>
        <v>0</v>
      </c>
      <c r="V105" s="111">
        <f>Ruimtestaat[[#This Row],[Uitvoeringen werkdagen]]*Ruimtestaat[[#This Row],[Oppervlak (netto)]]</f>
        <v>6720</v>
      </c>
      <c r="W105" s="112">
        <f>IF(U105&gt;0,Ruimtestaat[[#This Row],[Prest. (m2 /jaar) werkdagen]]/Ruimtestaat[[#This Row],[Norm (m2/uur) werkdagen]],0)</f>
        <v>0</v>
      </c>
      <c r="X105" s="113">
        <f>Ruimtestaat[[#This Row],[uren / jaar werkdagen]]*Tariefsopbouw!$E$35</f>
        <v>0</v>
      </c>
      <c r="Y105" s="110"/>
      <c r="Z105" s="114">
        <f>IF(Ruimtestaat[[#This Row],[Frequentie weekend]]&gt;0,VALUE(LEFT(Y105,1))*R105,0)</f>
        <v>0</v>
      </c>
      <c r="AA105" s="110">
        <f>IF($Z105&gt;0,VLOOKUP($J105,Ruimtegroepen[],3,FALSE)*VLOOKUP($L105,Vloersoorten[],3,FALSE)*VLOOKUP($Y105,Frequenties[],3,FALSE)*VLOOKUP($A99,Locaties[],3,FALSE),0)</f>
        <v>0</v>
      </c>
      <c r="AB105" s="112">
        <f>Ruimtestaat[[#This Row],[Uitvoeringen weekend]]*Ruimtestaat[[#This Row],[Oppervlak (netto)]]</f>
        <v>0</v>
      </c>
      <c r="AC105" s="115">
        <f>IF(AB105&gt;0,Ruimtestaat[[#This Row],[Prest. (m2 /jaar) weekend]]/Ruimtestaat[[#This Row],[Norm (m2/uur) weekend]],0)</f>
        <v>0</v>
      </c>
      <c r="AD105" s="116">
        <f>Ruimtestaat[[#This Row],[uren / jaar weekend]]*Tariefsopbouw!$D$40</f>
        <v>0</v>
      </c>
      <c r="AE105" s="82">
        <f>Ruimtestaat[[#This Row],[Prest. (m2 /jaar) weekend]]+Ruimtestaat[[#This Row],[Prest. (m2 /jaar) werkdagen]]</f>
        <v>6720</v>
      </c>
      <c r="AF105" s="82">
        <f>Ruimtestaat[[#This Row],[uren / jaar weekend]]+Ruimtestaat[[#This Row],[uren / jaar werkdagen]]</f>
        <v>0</v>
      </c>
      <c r="AG105" s="83">
        <f>Ruimtestaat[[#This Row],[kosten / jaar weekend]]+Ruimtestaat[[#This Row],[kosten / jaar werkdagen]]</f>
        <v>0</v>
      </c>
      <c r="AH105" s="117"/>
      <c r="HL105" s="87"/>
    </row>
    <row r="106" spans="1:220" ht="15" customHeight="1">
      <c r="A106" s="136">
        <v>1</v>
      </c>
      <c r="B106" s="27" t="str">
        <f>VLOOKUP(Ruimtestaat[[#This Row],[Code]],Locaties[#All],2,FALSE)</f>
        <v>Amstelveen College</v>
      </c>
      <c r="C106" s="27" t="str">
        <f>VLOOKUP(Ruimtestaat[[#This Row],[Code]],Locaties[#All],4,FALSE)</f>
        <v>Sportlaan 27</v>
      </c>
      <c r="D106" s="27" t="str">
        <f>VLOOKUP(Ruimtestaat[[#This Row],[Code]],Locaties[#All],5,FALSE)</f>
        <v>1185 TB</v>
      </c>
      <c r="E106" s="27" t="str">
        <f>VLOOKUP(Ruimtestaat[[#This Row],[Code]],Locaties[#All],6,FALSE)</f>
        <v>Amstelveen</v>
      </c>
      <c r="F106" s="74"/>
      <c r="G106" s="27" t="s">
        <v>272</v>
      </c>
      <c r="H106" s="35">
        <v>1002</v>
      </c>
      <c r="I106" s="24" t="s">
        <v>368</v>
      </c>
      <c r="J106" s="27">
        <v>16</v>
      </c>
      <c r="K106" s="74" t="str">
        <f>VLOOKUP(J106,Ruimtegroepen[],2,FALSE)</f>
        <v>Leslokalen theorie</v>
      </c>
      <c r="L106" s="27" t="s">
        <v>114</v>
      </c>
      <c r="M106" s="27" t="s">
        <v>139</v>
      </c>
      <c r="N106" s="107">
        <v>58</v>
      </c>
      <c r="O106" s="107"/>
      <c r="P106" s="118" t="str">
        <f>LEFT(VLOOKUP(Ruimtestaat[[#This Row],[Ruimte code]],Ruimtegroepen[#All],4,1),2)</f>
        <v xml:space="preserve">L </v>
      </c>
      <c r="Q106" s="118"/>
      <c r="R106" s="108">
        <v>40</v>
      </c>
      <c r="S106" s="109" t="s">
        <v>18</v>
      </c>
      <c r="T106" s="110">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6" s="110">
        <f>IF(T106&gt;0,VLOOKUP($J106,Ruimtegroepen[],3,FALSE)*VLOOKUP($L106,Vloersoorten[],3,FALSE)*VLOOKUP($S106,Frequenties[],3,FALSE)*VLOOKUP($A106,Locaties[],3,FALSE),0)</f>
        <v>0</v>
      </c>
      <c r="V106" s="111">
        <f>Ruimtestaat[[#This Row],[Uitvoeringen werkdagen]]*Ruimtestaat[[#This Row],[Oppervlak (netto)]]</f>
        <v>6960</v>
      </c>
      <c r="W106" s="112">
        <f>IF(U106&gt;0,Ruimtestaat[[#This Row],[Prest. (m2 /jaar) werkdagen]]/Ruimtestaat[[#This Row],[Norm (m2/uur) werkdagen]],0)</f>
        <v>0</v>
      </c>
      <c r="X106" s="113">
        <f>Ruimtestaat[[#This Row],[uren / jaar werkdagen]]*Tariefsopbouw!$E$35</f>
        <v>0</v>
      </c>
      <c r="Y106" s="110"/>
      <c r="Z106" s="114">
        <f>IF(Ruimtestaat[[#This Row],[Frequentie weekend]]&gt;0,VALUE(LEFT(Y106,1))*R106,0)</f>
        <v>0</v>
      </c>
      <c r="AA106" s="110">
        <f>IF($Z106&gt;0,VLOOKUP($J106,Ruimtegroepen[],3,FALSE)*VLOOKUP($L106,Vloersoorten[],3,FALSE)*VLOOKUP($Y106,Frequenties[],3,FALSE)*VLOOKUP($A102,Locaties[],3,FALSE),0)</f>
        <v>0</v>
      </c>
      <c r="AB106" s="112">
        <f>Ruimtestaat[[#This Row],[Uitvoeringen weekend]]*Ruimtestaat[[#This Row],[Oppervlak (netto)]]</f>
        <v>0</v>
      </c>
      <c r="AC106" s="115">
        <f>IF(AB106&gt;0,Ruimtestaat[[#This Row],[Prest. (m2 /jaar) weekend]]/Ruimtestaat[[#This Row],[Norm (m2/uur) weekend]],0)</f>
        <v>0</v>
      </c>
      <c r="AD106" s="116">
        <f>Ruimtestaat[[#This Row],[uren / jaar weekend]]*Tariefsopbouw!$D$40</f>
        <v>0</v>
      </c>
      <c r="AE106" s="82">
        <f>Ruimtestaat[[#This Row],[Prest. (m2 /jaar) weekend]]+Ruimtestaat[[#This Row],[Prest. (m2 /jaar) werkdagen]]</f>
        <v>6960</v>
      </c>
      <c r="AF106" s="82">
        <f>Ruimtestaat[[#This Row],[uren / jaar weekend]]+Ruimtestaat[[#This Row],[uren / jaar werkdagen]]</f>
        <v>0</v>
      </c>
      <c r="AG106" s="83">
        <f>Ruimtestaat[[#This Row],[kosten / jaar weekend]]+Ruimtestaat[[#This Row],[kosten / jaar werkdagen]]</f>
        <v>0</v>
      </c>
      <c r="AH106" s="117"/>
      <c r="HL106" s="87"/>
    </row>
    <row r="107" spans="1:220" ht="15" customHeight="1">
      <c r="A107" s="136">
        <v>1</v>
      </c>
      <c r="B107" s="27" t="str">
        <f>VLOOKUP(Ruimtestaat[[#This Row],[Code]],Locaties[#All],2,FALSE)</f>
        <v>Amstelveen College</v>
      </c>
      <c r="C107" s="27" t="str">
        <f>VLOOKUP(Ruimtestaat[[#This Row],[Code]],Locaties[#All],4,FALSE)</f>
        <v>Sportlaan 27</v>
      </c>
      <c r="D107" s="27" t="str">
        <f>VLOOKUP(Ruimtestaat[[#This Row],[Code]],Locaties[#All],5,FALSE)</f>
        <v>1185 TB</v>
      </c>
      <c r="E107" s="27" t="str">
        <f>VLOOKUP(Ruimtestaat[[#This Row],[Code]],Locaties[#All],6,FALSE)</f>
        <v>Amstelveen</v>
      </c>
      <c r="F107" s="74"/>
      <c r="G107" s="27" t="s">
        <v>272</v>
      </c>
      <c r="H107" s="35">
        <v>1003</v>
      </c>
      <c r="I107" s="24" t="s">
        <v>368</v>
      </c>
      <c r="J107" s="27">
        <v>16</v>
      </c>
      <c r="K107" s="74" t="str">
        <f>VLOOKUP(J107,Ruimtegroepen[],2,FALSE)</f>
        <v>Leslokalen theorie</v>
      </c>
      <c r="L107" s="27" t="s">
        <v>114</v>
      </c>
      <c r="M107" s="27" t="s">
        <v>139</v>
      </c>
      <c r="N107" s="107">
        <v>58</v>
      </c>
      <c r="O107" s="107"/>
      <c r="P107" s="118" t="str">
        <f>LEFT(VLOOKUP(Ruimtestaat[[#This Row],[Ruimte code]],Ruimtegroepen[#All],4,1),2)</f>
        <v xml:space="preserve">L </v>
      </c>
      <c r="Q107" s="118"/>
      <c r="R107" s="108">
        <v>40</v>
      </c>
      <c r="S107" s="109" t="s">
        <v>18</v>
      </c>
      <c r="T107" s="110">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7" s="110">
        <f>IF(T107&gt;0,VLOOKUP($J107,Ruimtegroepen[],3,FALSE)*VLOOKUP($L107,Vloersoorten[],3,FALSE)*VLOOKUP($S107,Frequenties[],3,FALSE)*VLOOKUP($A107,Locaties[],3,FALSE),0)</f>
        <v>0</v>
      </c>
      <c r="V107" s="111">
        <f>Ruimtestaat[[#This Row],[Uitvoeringen werkdagen]]*Ruimtestaat[[#This Row],[Oppervlak (netto)]]</f>
        <v>6960</v>
      </c>
      <c r="W107" s="112">
        <f>IF(U107&gt;0,Ruimtestaat[[#This Row],[Prest. (m2 /jaar) werkdagen]]/Ruimtestaat[[#This Row],[Norm (m2/uur) werkdagen]],0)</f>
        <v>0</v>
      </c>
      <c r="X107" s="113">
        <f>Ruimtestaat[[#This Row],[uren / jaar werkdagen]]*Tariefsopbouw!$E$35</f>
        <v>0</v>
      </c>
      <c r="Y107" s="110"/>
      <c r="Z107" s="114">
        <f>IF(Ruimtestaat[[#This Row],[Frequentie weekend]]&gt;0,VALUE(LEFT(Y107,1))*R107,0)</f>
        <v>0</v>
      </c>
      <c r="AA107" s="110">
        <f>IF($Z107&gt;0,VLOOKUP($J107,Ruimtegroepen[],3,FALSE)*VLOOKUP($L107,Vloersoorten[],3,FALSE)*VLOOKUP($Y107,Frequenties[],3,FALSE)*VLOOKUP($A103,Locaties[],3,FALSE),0)</f>
        <v>0</v>
      </c>
      <c r="AB107" s="112">
        <f>Ruimtestaat[[#This Row],[Uitvoeringen weekend]]*Ruimtestaat[[#This Row],[Oppervlak (netto)]]</f>
        <v>0</v>
      </c>
      <c r="AC107" s="115">
        <f>IF(AB107&gt;0,Ruimtestaat[[#This Row],[Prest. (m2 /jaar) weekend]]/Ruimtestaat[[#This Row],[Norm (m2/uur) weekend]],0)</f>
        <v>0</v>
      </c>
      <c r="AD107" s="116">
        <f>Ruimtestaat[[#This Row],[uren / jaar weekend]]*Tariefsopbouw!$D$40</f>
        <v>0</v>
      </c>
      <c r="AE107" s="82">
        <f>Ruimtestaat[[#This Row],[Prest. (m2 /jaar) weekend]]+Ruimtestaat[[#This Row],[Prest. (m2 /jaar) werkdagen]]</f>
        <v>6960</v>
      </c>
      <c r="AF107" s="82">
        <f>Ruimtestaat[[#This Row],[uren / jaar weekend]]+Ruimtestaat[[#This Row],[uren / jaar werkdagen]]</f>
        <v>0</v>
      </c>
      <c r="AG107" s="83">
        <f>Ruimtestaat[[#This Row],[kosten / jaar weekend]]+Ruimtestaat[[#This Row],[kosten / jaar werkdagen]]</f>
        <v>0</v>
      </c>
      <c r="AH107" s="117"/>
      <c r="HL107" s="87"/>
    </row>
    <row r="108" spans="1:220" ht="15" customHeight="1">
      <c r="A108" s="136">
        <v>1</v>
      </c>
      <c r="B108" s="27" t="str">
        <f>VLOOKUP(Ruimtestaat[[#This Row],[Code]],Locaties[#All],2,FALSE)</f>
        <v>Amstelveen College</v>
      </c>
      <c r="C108" s="27" t="str">
        <f>VLOOKUP(Ruimtestaat[[#This Row],[Code]],Locaties[#All],4,FALSE)</f>
        <v>Sportlaan 27</v>
      </c>
      <c r="D108" s="27" t="str">
        <f>VLOOKUP(Ruimtestaat[[#This Row],[Code]],Locaties[#All],5,FALSE)</f>
        <v>1185 TB</v>
      </c>
      <c r="E108" s="27" t="str">
        <f>VLOOKUP(Ruimtestaat[[#This Row],[Code]],Locaties[#All],6,FALSE)</f>
        <v>Amstelveen</v>
      </c>
      <c r="F108" s="74"/>
      <c r="G108" s="27" t="s">
        <v>272</v>
      </c>
      <c r="H108" s="35">
        <v>1004</v>
      </c>
      <c r="I108" s="24" t="s">
        <v>368</v>
      </c>
      <c r="J108" s="27">
        <v>16</v>
      </c>
      <c r="K108" s="74" t="str">
        <f>VLOOKUP(J108,Ruimtegroepen[],2,FALSE)</f>
        <v>Leslokalen theorie</v>
      </c>
      <c r="L108" s="27" t="s">
        <v>114</v>
      </c>
      <c r="M108" s="27" t="s">
        <v>139</v>
      </c>
      <c r="N108" s="107">
        <v>63</v>
      </c>
      <c r="O108" s="107"/>
      <c r="P108" s="118" t="str">
        <f>LEFT(VLOOKUP(Ruimtestaat[[#This Row],[Ruimte code]],Ruimtegroepen[#All],4,1),2)</f>
        <v xml:space="preserve">L </v>
      </c>
      <c r="Q108" s="118"/>
      <c r="R108" s="108">
        <v>40</v>
      </c>
      <c r="S108" s="109" t="s">
        <v>18</v>
      </c>
      <c r="T108" s="110">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08" s="110">
        <f>IF(T108&gt;0,VLOOKUP($J108,Ruimtegroepen[],3,FALSE)*VLOOKUP($L108,Vloersoorten[],3,FALSE)*VLOOKUP($S108,Frequenties[],3,FALSE)*VLOOKUP($A108,Locaties[],3,FALSE),0)</f>
        <v>0</v>
      </c>
      <c r="V108" s="111">
        <f>Ruimtestaat[[#This Row],[Uitvoeringen werkdagen]]*Ruimtestaat[[#This Row],[Oppervlak (netto)]]</f>
        <v>7560</v>
      </c>
      <c r="W108" s="112">
        <f>IF(U108&gt;0,Ruimtestaat[[#This Row],[Prest. (m2 /jaar) werkdagen]]/Ruimtestaat[[#This Row],[Norm (m2/uur) werkdagen]],0)</f>
        <v>0</v>
      </c>
      <c r="X108" s="113">
        <f>Ruimtestaat[[#This Row],[uren / jaar werkdagen]]*Tariefsopbouw!$E$35</f>
        <v>0</v>
      </c>
      <c r="Y108" s="110"/>
      <c r="Z108" s="114">
        <f>IF(Ruimtestaat[[#This Row],[Frequentie weekend]]&gt;0,VALUE(LEFT(Y108,1))*R108,0)</f>
        <v>0</v>
      </c>
      <c r="AA108" s="110">
        <f>IF($Z108&gt;0,VLOOKUP($J108,Ruimtegroepen[],3,FALSE)*VLOOKUP($L108,Vloersoorten[],3,FALSE)*VLOOKUP($Y108,Frequenties[],3,FALSE)*VLOOKUP($A103,Locaties[],3,FALSE),0)</f>
        <v>0</v>
      </c>
      <c r="AB108" s="112">
        <f>Ruimtestaat[[#This Row],[Uitvoeringen weekend]]*Ruimtestaat[[#This Row],[Oppervlak (netto)]]</f>
        <v>0</v>
      </c>
      <c r="AC108" s="115">
        <f>IF(AB108&gt;0,Ruimtestaat[[#This Row],[Prest. (m2 /jaar) weekend]]/Ruimtestaat[[#This Row],[Norm (m2/uur) weekend]],0)</f>
        <v>0</v>
      </c>
      <c r="AD108" s="116">
        <f>Ruimtestaat[[#This Row],[uren / jaar weekend]]*Tariefsopbouw!$D$40</f>
        <v>0</v>
      </c>
      <c r="AE108" s="82">
        <f>Ruimtestaat[[#This Row],[Prest. (m2 /jaar) weekend]]+Ruimtestaat[[#This Row],[Prest. (m2 /jaar) werkdagen]]</f>
        <v>7560</v>
      </c>
      <c r="AF108" s="82">
        <f>Ruimtestaat[[#This Row],[uren / jaar weekend]]+Ruimtestaat[[#This Row],[uren / jaar werkdagen]]</f>
        <v>0</v>
      </c>
      <c r="AG108" s="83">
        <f>Ruimtestaat[[#This Row],[kosten / jaar weekend]]+Ruimtestaat[[#This Row],[kosten / jaar werkdagen]]</f>
        <v>0</v>
      </c>
      <c r="AH108" s="117"/>
      <c r="HL108" s="87"/>
    </row>
    <row r="109" spans="1:220" ht="15" customHeight="1">
      <c r="A109" s="136">
        <v>1</v>
      </c>
      <c r="B109" s="27" t="str">
        <f>VLOOKUP(Ruimtestaat[[#This Row],[Code]],Locaties[#All],2,FALSE)</f>
        <v>Amstelveen College</v>
      </c>
      <c r="C109" s="27" t="str">
        <f>VLOOKUP(Ruimtestaat[[#This Row],[Code]],Locaties[#All],4,FALSE)</f>
        <v>Sportlaan 27</v>
      </c>
      <c r="D109" s="27" t="str">
        <f>VLOOKUP(Ruimtestaat[[#This Row],[Code]],Locaties[#All],5,FALSE)</f>
        <v>1185 TB</v>
      </c>
      <c r="E109" s="27" t="str">
        <f>VLOOKUP(Ruimtestaat[[#This Row],[Code]],Locaties[#All],6,FALSE)</f>
        <v>Amstelveen</v>
      </c>
      <c r="F109" s="74"/>
      <c r="G109" s="27" t="s">
        <v>272</v>
      </c>
      <c r="H109" s="35">
        <v>1010</v>
      </c>
      <c r="I109" s="24" t="s">
        <v>367</v>
      </c>
      <c r="J109" s="27">
        <v>20</v>
      </c>
      <c r="K109" s="74" t="str">
        <f>VLOOKUP(J109,Ruimtegroepen[],2,FALSE)</f>
        <v>Niet in onderhoud</v>
      </c>
      <c r="M109" s="27"/>
      <c r="N109" s="107"/>
      <c r="O109" s="107">
        <v>9</v>
      </c>
      <c r="P109" s="118" t="str">
        <f>LEFT(VLOOKUP(Ruimtestaat[[#This Row],[Ruimte code]],Ruimtegroepen[#All],4,1),2)</f>
        <v/>
      </c>
      <c r="Q109" s="118"/>
      <c r="R109" s="108"/>
      <c r="S109" s="109"/>
      <c r="T109" s="110">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9" s="110">
        <f>IF(T109&gt;0,VLOOKUP($J109,Ruimtegroepen[],3,FALSE)*VLOOKUP($L109,Vloersoorten[],3,FALSE)*VLOOKUP($S109,Frequenties[],3,FALSE)*VLOOKUP($A109,Locaties[],3,FALSE),0)</f>
        <v>0</v>
      </c>
      <c r="V109" s="111">
        <f>Ruimtestaat[[#This Row],[Uitvoeringen werkdagen]]*Ruimtestaat[[#This Row],[Oppervlak (netto)]]</f>
        <v>0</v>
      </c>
      <c r="W109" s="112">
        <f>IF(U109&gt;0,Ruimtestaat[[#This Row],[Prest. (m2 /jaar) werkdagen]]/Ruimtestaat[[#This Row],[Norm (m2/uur) werkdagen]],0)</f>
        <v>0</v>
      </c>
      <c r="X109" s="113">
        <f>Ruimtestaat[[#This Row],[uren / jaar werkdagen]]*Tariefsopbouw!$E$35</f>
        <v>0</v>
      </c>
      <c r="Y109" s="110"/>
      <c r="Z109" s="114">
        <f>IF(Ruimtestaat[[#This Row],[Frequentie weekend]]&gt;0,VALUE(LEFT(Y109,1))*R109,0)</f>
        <v>0</v>
      </c>
      <c r="AA109" s="110">
        <f>IF($Z109&gt;0,VLOOKUP($J109,Ruimtegroepen[],3,FALSE)*VLOOKUP($L109,Vloersoorten[],3,FALSE)*VLOOKUP($Y109,Frequenties[],3,FALSE)*VLOOKUP($A104,Locaties[],3,FALSE),0)</f>
        <v>0</v>
      </c>
      <c r="AB109" s="112">
        <f>Ruimtestaat[[#This Row],[Uitvoeringen weekend]]*Ruimtestaat[[#This Row],[Oppervlak (netto)]]</f>
        <v>0</v>
      </c>
      <c r="AC109" s="115">
        <f>IF(AB109&gt;0,Ruimtestaat[[#This Row],[Prest. (m2 /jaar) weekend]]/Ruimtestaat[[#This Row],[Norm (m2/uur) weekend]],0)</f>
        <v>0</v>
      </c>
      <c r="AD109" s="116">
        <f>Ruimtestaat[[#This Row],[uren / jaar weekend]]*Tariefsopbouw!$D$40</f>
        <v>0</v>
      </c>
      <c r="AE109" s="82">
        <f>Ruimtestaat[[#This Row],[Prest. (m2 /jaar) weekend]]+Ruimtestaat[[#This Row],[Prest. (m2 /jaar) werkdagen]]</f>
        <v>0</v>
      </c>
      <c r="AF109" s="82">
        <f>Ruimtestaat[[#This Row],[uren / jaar weekend]]+Ruimtestaat[[#This Row],[uren / jaar werkdagen]]</f>
        <v>0</v>
      </c>
      <c r="AG109" s="83">
        <f>Ruimtestaat[[#This Row],[kosten / jaar weekend]]+Ruimtestaat[[#This Row],[kosten / jaar werkdagen]]</f>
        <v>0</v>
      </c>
      <c r="AH109" s="117"/>
      <c r="HL109" s="87"/>
    </row>
    <row r="110" spans="1:220" ht="15" customHeight="1">
      <c r="A110" s="136">
        <v>1</v>
      </c>
      <c r="B110" s="27" t="str">
        <f>VLOOKUP(Ruimtestaat[[#This Row],[Code]],Locaties[#All],2,FALSE)</f>
        <v>Amstelveen College</v>
      </c>
      <c r="C110" s="27" t="str">
        <f>VLOOKUP(Ruimtestaat[[#This Row],[Code]],Locaties[#All],4,FALSE)</f>
        <v>Sportlaan 27</v>
      </c>
      <c r="D110" s="27" t="str">
        <f>VLOOKUP(Ruimtestaat[[#This Row],[Code]],Locaties[#All],5,FALSE)</f>
        <v>1185 TB</v>
      </c>
      <c r="E110" s="27" t="str">
        <f>VLOOKUP(Ruimtestaat[[#This Row],[Code]],Locaties[#All],6,FALSE)</f>
        <v>Amstelveen</v>
      </c>
      <c r="F110" s="74"/>
      <c r="G110" s="27" t="s">
        <v>272</v>
      </c>
      <c r="H110" s="35">
        <v>1019</v>
      </c>
      <c r="I110" s="24" t="s">
        <v>517</v>
      </c>
      <c r="J110" s="27">
        <v>5</v>
      </c>
      <c r="K110" s="74" t="str">
        <f>VLOOKUP(J110,Ruimtegroepen[],2,FALSE)</f>
        <v>Sanitair</v>
      </c>
      <c r="L110" s="27" t="s">
        <v>115</v>
      </c>
      <c r="M110" s="27" t="s">
        <v>271</v>
      </c>
      <c r="N110" s="107">
        <v>5</v>
      </c>
      <c r="O110" s="107"/>
      <c r="P110" s="118" t="str">
        <f>LEFT(VLOOKUP(Ruimtestaat[[#This Row],[Ruimte code]],Ruimtegroepen[#All],4,1),2)</f>
        <v xml:space="preserve">S </v>
      </c>
      <c r="Q110" s="118"/>
      <c r="R110" s="108">
        <v>42</v>
      </c>
      <c r="S110" s="109" t="s">
        <v>19</v>
      </c>
      <c r="T110" s="110">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10" s="110">
        <f>IF(T110&gt;0,VLOOKUP($J110,Ruimtegroepen[],3,FALSE)*VLOOKUP($L110,Vloersoorten[],3,FALSE)*VLOOKUP($S110,Frequenties[],3,FALSE)*VLOOKUP($A110,Locaties[],3,FALSE),0)</f>
        <v>0</v>
      </c>
      <c r="V110" s="111">
        <f>Ruimtestaat[[#This Row],[Uitvoeringen werkdagen]]*Ruimtestaat[[#This Row],[Oppervlak (netto)]]</f>
        <v>2100</v>
      </c>
      <c r="W110" s="112">
        <f>IF(U110&gt;0,Ruimtestaat[[#This Row],[Prest. (m2 /jaar) werkdagen]]/Ruimtestaat[[#This Row],[Norm (m2/uur) werkdagen]],0)</f>
        <v>0</v>
      </c>
      <c r="X110" s="113">
        <f>Ruimtestaat[[#This Row],[uren / jaar werkdagen]]*Tariefsopbouw!$E$35</f>
        <v>0</v>
      </c>
      <c r="Y110" s="110"/>
      <c r="Z110" s="114">
        <f>IF(Ruimtestaat[[#This Row],[Frequentie weekend]]&gt;0,VALUE(LEFT(Y110,1))*R110,0)</f>
        <v>0</v>
      </c>
      <c r="AA110" s="110">
        <f>IF($Z110&gt;0,VLOOKUP($J110,Ruimtegroepen[],3,FALSE)*VLOOKUP($L110,Vloersoorten[],3,FALSE)*VLOOKUP($Y110,Frequenties[],3,FALSE)*VLOOKUP($A105,Locaties[],3,FALSE),0)</f>
        <v>0</v>
      </c>
      <c r="AB110" s="112">
        <f>Ruimtestaat[[#This Row],[Uitvoeringen weekend]]*Ruimtestaat[[#This Row],[Oppervlak (netto)]]</f>
        <v>0</v>
      </c>
      <c r="AC110" s="115">
        <f>IF(AB110&gt;0,Ruimtestaat[[#This Row],[Prest. (m2 /jaar) weekend]]/Ruimtestaat[[#This Row],[Norm (m2/uur) weekend]],0)</f>
        <v>0</v>
      </c>
      <c r="AD110" s="116">
        <f>Ruimtestaat[[#This Row],[uren / jaar weekend]]*Tariefsopbouw!$D$40</f>
        <v>0</v>
      </c>
      <c r="AE110" s="82">
        <f>Ruimtestaat[[#This Row],[Prest. (m2 /jaar) weekend]]+Ruimtestaat[[#This Row],[Prest. (m2 /jaar) werkdagen]]</f>
        <v>2100</v>
      </c>
      <c r="AF110" s="82">
        <f>Ruimtestaat[[#This Row],[uren / jaar weekend]]+Ruimtestaat[[#This Row],[uren / jaar werkdagen]]</f>
        <v>0</v>
      </c>
      <c r="AG110" s="83">
        <f>Ruimtestaat[[#This Row],[kosten / jaar weekend]]+Ruimtestaat[[#This Row],[kosten / jaar werkdagen]]</f>
        <v>0</v>
      </c>
      <c r="AH110" s="117"/>
      <c r="HL110" s="87"/>
    </row>
    <row r="111" spans="1:220" ht="15" customHeight="1">
      <c r="A111" s="136">
        <v>1</v>
      </c>
      <c r="B111" s="27" t="str">
        <f>VLOOKUP(Ruimtestaat[[#This Row],[Code]],Locaties[#All],2,FALSE)</f>
        <v>Amstelveen College</v>
      </c>
      <c r="C111" s="27" t="str">
        <f>VLOOKUP(Ruimtestaat[[#This Row],[Code]],Locaties[#All],4,FALSE)</f>
        <v>Sportlaan 27</v>
      </c>
      <c r="D111" s="27" t="str">
        <f>VLOOKUP(Ruimtestaat[[#This Row],[Code]],Locaties[#All],5,FALSE)</f>
        <v>1185 TB</v>
      </c>
      <c r="E111" s="27" t="str">
        <f>VLOOKUP(Ruimtestaat[[#This Row],[Code]],Locaties[#All],6,FALSE)</f>
        <v>Amstelveen</v>
      </c>
      <c r="F111" s="74"/>
      <c r="G111" s="27" t="s">
        <v>272</v>
      </c>
      <c r="H111" s="35">
        <v>1018</v>
      </c>
      <c r="I111" s="24" t="s">
        <v>518</v>
      </c>
      <c r="J111" s="27">
        <v>20</v>
      </c>
      <c r="K111" s="74" t="str">
        <f>VLOOKUP(J111,Ruimtegroepen[],2,FALSE)</f>
        <v>Niet in onderhoud</v>
      </c>
      <c r="M111" s="27"/>
      <c r="N111" s="107"/>
      <c r="O111" s="107">
        <v>7</v>
      </c>
      <c r="P111" s="118" t="str">
        <f>LEFT(VLOOKUP(Ruimtestaat[[#This Row],[Ruimte code]],Ruimtegroepen[#All],4,1),2)</f>
        <v/>
      </c>
      <c r="Q111" s="118"/>
      <c r="R111" s="108"/>
      <c r="S111" s="109"/>
      <c r="T111" s="110">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1" s="110">
        <f>IF(T111&gt;0,VLOOKUP($J111,Ruimtegroepen[],3,FALSE)*VLOOKUP($L111,Vloersoorten[],3,FALSE)*VLOOKUP($S111,Frequenties[],3,FALSE)*VLOOKUP($A111,Locaties[],3,FALSE),0)</f>
        <v>0</v>
      </c>
      <c r="V111" s="111">
        <f>Ruimtestaat[[#This Row],[Uitvoeringen werkdagen]]*Ruimtestaat[[#This Row],[Oppervlak (netto)]]</f>
        <v>0</v>
      </c>
      <c r="W111" s="112">
        <f>IF(U111&gt;0,Ruimtestaat[[#This Row],[Prest. (m2 /jaar) werkdagen]]/Ruimtestaat[[#This Row],[Norm (m2/uur) werkdagen]],0)</f>
        <v>0</v>
      </c>
      <c r="X111" s="113">
        <f>Ruimtestaat[[#This Row],[uren / jaar werkdagen]]*Tariefsopbouw!$E$35</f>
        <v>0</v>
      </c>
      <c r="Y111" s="110"/>
      <c r="Z111" s="114">
        <f>IF(Ruimtestaat[[#This Row],[Frequentie weekend]]&gt;0,VALUE(LEFT(Y111,1))*R111,0)</f>
        <v>0</v>
      </c>
      <c r="AA111" s="110">
        <f>IF($Z111&gt;0,VLOOKUP($J111,Ruimtegroepen[],3,FALSE)*VLOOKUP($L111,Vloersoorten[],3,FALSE)*VLOOKUP($Y111,Frequenties[],3,FALSE)*VLOOKUP($A106,Locaties[],3,FALSE),0)</f>
        <v>0</v>
      </c>
      <c r="AB111" s="112">
        <f>Ruimtestaat[[#This Row],[Uitvoeringen weekend]]*Ruimtestaat[[#This Row],[Oppervlak (netto)]]</f>
        <v>0</v>
      </c>
      <c r="AC111" s="115">
        <f>IF(AB111&gt;0,Ruimtestaat[[#This Row],[Prest. (m2 /jaar) weekend]]/Ruimtestaat[[#This Row],[Norm (m2/uur) weekend]],0)</f>
        <v>0</v>
      </c>
      <c r="AD111" s="116">
        <f>Ruimtestaat[[#This Row],[uren / jaar weekend]]*Tariefsopbouw!$D$40</f>
        <v>0</v>
      </c>
      <c r="AE111" s="82">
        <f>Ruimtestaat[[#This Row],[Prest. (m2 /jaar) weekend]]+Ruimtestaat[[#This Row],[Prest. (m2 /jaar) werkdagen]]</f>
        <v>0</v>
      </c>
      <c r="AF111" s="82">
        <f>Ruimtestaat[[#This Row],[uren / jaar weekend]]+Ruimtestaat[[#This Row],[uren / jaar werkdagen]]</f>
        <v>0</v>
      </c>
      <c r="AG111" s="83">
        <f>Ruimtestaat[[#This Row],[kosten / jaar weekend]]+Ruimtestaat[[#This Row],[kosten / jaar werkdagen]]</f>
        <v>0</v>
      </c>
      <c r="AH111" s="117"/>
      <c r="HL111" s="87"/>
    </row>
    <row r="112" spans="1:220" ht="15" customHeight="1">
      <c r="A112" s="136">
        <v>1</v>
      </c>
      <c r="B112" s="27" t="str">
        <f>VLOOKUP(Ruimtestaat[[#This Row],[Code]],Locaties[#All],2,FALSE)</f>
        <v>Amstelveen College</v>
      </c>
      <c r="C112" s="27" t="str">
        <f>VLOOKUP(Ruimtestaat[[#This Row],[Code]],Locaties[#All],4,FALSE)</f>
        <v>Sportlaan 27</v>
      </c>
      <c r="D112" s="27" t="str">
        <f>VLOOKUP(Ruimtestaat[[#This Row],[Code]],Locaties[#All],5,FALSE)</f>
        <v>1185 TB</v>
      </c>
      <c r="E112" s="27" t="str">
        <f>VLOOKUP(Ruimtestaat[[#This Row],[Code]],Locaties[#All],6,FALSE)</f>
        <v>Amstelveen</v>
      </c>
      <c r="F112" s="74"/>
      <c r="G112" s="27" t="s">
        <v>272</v>
      </c>
      <c r="H112" s="35">
        <v>1017</v>
      </c>
      <c r="I112" s="24" t="s">
        <v>519</v>
      </c>
      <c r="J112" s="27">
        <v>20</v>
      </c>
      <c r="K112" s="74" t="str">
        <f>VLOOKUP(J112,Ruimtegroepen[],2,FALSE)</f>
        <v>Niet in onderhoud</v>
      </c>
      <c r="L112" s="27" t="s">
        <v>115</v>
      </c>
      <c r="M112" s="27" t="s">
        <v>271</v>
      </c>
      <c r="N112" s="107"/>
      <c r="O112" s="107">
        <v>24</v>
      </c>
      <c r="P112" s="118" t="str">
        <f>LEFT(VLOOKUP(Ruimtestaat[[#This Row],[Ruimte code]],Ruimtegroepen[#All],4,1),2)</f>
        <v/>
      </c>
      <c r="Q112" s="118" t="s">
        <v>571</v>
      </c>
      <c r="R112" s="108"/>
      <c r="S112" s="109"/>
      <c r="T112" s="110">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2" s="110">
        <f>IF(T112&gt;0,VLOOKUP($J112,Ruimtegroepen[],3,FALSE)*VLOOKUP($L112,Vloersoorten[],3,FALSE)*VLOOKUP($S112,Frequenties[],3,FALSE)*VLOOKUP($A112,Locaties[],3,FALSE),0)</f>
        <v>0</v>
      </c>
      <c r="V112" s="111">
        <f>Ruimtestaat[[#This Row],[Uitvoeringen werkdagen]]*Ruimtestaat[[#This Row],[Oppervlak (netto)]]</f>
        <v>0</v>
      </c>
      <c r="W112" s="112">
        <f>IF(U112&gt;0,Ruimtestaat[[#This Row],[Prest. (m2 /jaar) werkdagen]]/Ruimtestaat[[#This Row],[Norm (m2/uur) werkdagen]],0)</f>
        <v>0</v>
      </c>
      <c r="X112" s="113">
        <f>Ruimtestaat[[#This Row],[uren / jaar werkdagen]]*Tariefsopbouw!$E$35</f>
        <v>0</v>
      </c>
      <c r="Y112" s="110"/>
      <c r="Z112" s="114">
        <f>IF(Ruimtestaat[[#This Row],[Frequentie weekend]]&gt;0,VALUE(LEFT(Y112,1))*R112,0)</f>
        <v>0</v>
      </c>
      <c r="AA112" s="110">
        <f>IF($Z112&gt;0,VLOOKUP($J112,Ruimtegroepen[],3,FALSE)*VLOOKUP($L112,Vloersoorten[],3,FALSE)*VLOOKUP($Y112,Frequenties[],3,FALSE)*VLOOKUP($A108,Locaties[],3,FALSE),0)</f>
        <v>0</v>
      </c>
      <c r="AB112" s="112">
        <f>Ruimtestaat[[#This Row],[Uitvoeringen weekend]]*Ruimtestaat[[#This Row],[Oppervlak (netto)]]</f>
        <v>0</v>
      </c>
      <c r="AC112" s="115">
        <f>IF(AB112&gt;0,Ruimtestaat[[#This Row],[Prest. (m2 /jaar) weekend]]/Ruimtestaat[[#This Row],[Norm (m2/uur) weekend]],0)</f>
        <v>0</v>
      </c>
      <c r="AD112" s="116">
        <f>Ruimtestaat[[#This Row],[uren / jaar weekend]]*Tariefsopbouw!$D$40</f>
        <v>0</v>
      </c>
      <c r="AE112" s="82">
        <f>Ruimtestaat[[#This Row],[Prest. (m2 /jaar) weekend]]+Ruimtestaat[[#This Row],[Prest. (m2 /jaar) werkdagen]]</f>
        <v>0</v>
      </c>
      <c r="AF112" s="82">
        <f>Ruimtestaat[[#This Row],[uren / jaar weekend]]+Ruimtestaat[[#This Row],[uren / jaar werkdagen]]</f>
        <v>0</v>
      </c>
      <c r="AG112" s="83">
        <f>Ruimtestaat[[#This Row],[kosten / jaar weekend]]+Ruimtestaat[[#This Row],[kosten / jaar werkdagen]]</f>
        <v>0</v>
      </c>
      <c r="AH112" s="117"/>
      <c r="HL112" s="87"/>
    </row>
    <row r="113" spans="1:220" ht="15" customHeight="1">
      <c r="A113" s="136">
        <v>1</v>
      </c>
      <c r="B113" s="27" t="str">
        <f>VLOOKUP(Ruimtestaat[[#This Row],[Code]],Locaties[#All],2,FALSE)</f>
        <v>Amstelveen College</v>
      </c>
      <c r="C113" s="27" t="str">
        <f>VLOOKUP(Ruimtestaat[[#This Row],[Code]],Locaties[#All],4,FALSE)</f>
        <v>Sportlaan 27</v>
      </c>
      <c r="D113" s="27" t="str">
        <f>VLOOKUP(Ruimtestaat[[#This Row],[Code]],Locaties[#All],5,FALSE)</f>
        <v>1185 TB</v>
      </c>
      <c r="E113" s="27" t="str">
        <f>VLOOKUP(Ruimtestaat[[#This Row],[Code]],Locaties[#All],6,FALSE)</f>
        <v>Amstelveen</v>
      </c>
      <c r="F113" s="74"/>
      <c r="G113" s="27" t="s">
        <v>272</v>
      </c>
      <c r="H113" s="35">
        <v>1016</v>
      </c>
      <c r="I113" s="24" t="s">
        <v>520</v>
      </c>
      <c r="J113" s="27">
        <v>20</v>
      </c>
      <c r="K113" s="74" t="str">
        <f>VLOOKUP(J113,Ruimtegroepen[],2,FALSE)</f>
        <v>Niet in onderhoud</v>
      </c>
      <c r="L113" s="27" t="s">
        <v>115</v>
      </c>
      <c r="M113" s="27" t="s">
        <v>271</v>
      </c>
      <c r="N113" s="107"/>
      <c r="O113" s="107">
        <v>21</v>
      </c>
      <c r="P113" s="118" t="str">
        <f>LEFT(VLOOKUP(Ruimtestaat[[#This Row],[Ruimte code]],Ruimtegroepen[#All],4,1),2)</f>
        <v/>
      </c>
      <c r="Q113" s="118" t="s">
        <v>571</v>
      </c>
      <c r="R113" s="108"/>
      <c r="S113" s="109"/>
      <c r="T113" s="110">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3" s="110">
        <f>IF(T113&gt;0,VLOOKUP($J113,Ruimtegroepen[],3,FALSE)*VLOOKUP($L113,Vloersoorten[],3,FALSE)*VLOOKUP($S113,Frequenties[],3,FALSE)*VLOOKUP($A113,Locaties[],3,FALSE),0)</f>
        <v>0</v>
      </c>
      <c r="V113" s="111">
        <f>Ruimtestaat[[#This Row],[Uitvoeringen werkdagen]]*Ruimtestaat[[#This Row],[Oppervlak (netto)]]</f>
        <v>0</v>
      </c>
      <c r="W113" s="112">
        <f>IF(U113&gt;0,Ruimtestaat[[#This Row],[Prest. (m2 /jaar) werkdagen]]/Ruimtestaat[[#This Row],[Norm (m2/uur) werkdagen]],0)</f>
        <v>0</v>
      </c>
      <c r="X113" s="113">
        <f>Ruimtestaat[[#This Row],[uren / jaar werkdagen]]*Tariefsopbouw!$E$35</f>
        <v>0</v>
      </c>
      <c r="Y113" s="110"/>
      <c r="Z113" s="114">
        <f>IF(Ruimtestaat[[#This Row],[Frequentie weekend]]&gt;0,VALUE(LEFT(Y113,1))*R113,0)</f>
        <v>0</v>
      </c>
      <c r="AA113" s="110">
        <f>IF($Z113&gt;0,VLOOKUP($J113,Ruimtegroepen[],3,FALSE)*VLOOKUP($L113,Vloersoorten[],3,FALSE)*VLOOKUP($Y113,Frequenties[],3,FALSE)*VLOOKUP($A109,Locaties[],3,FALSE),0)</f>
        <v>0</v>
      </c>
      <c r="AB113" s="112">
        <f>Ruimtestaat[[#This Row],[Uitvoeringen weekend]]*Ruimtestaat[[#This Row],[Oppervlak (netto)]]</f>
        <v>0</v>
      </c>
      <c r="AC113" s="115">
        <f>IF(AB113&gt;0,Ruimtestaat[[#This Row],[Prest. (m2 /jaar) weekend]]/Ruimtestaat[[#This Row],[Norm (m2/uur) weekend]],0)</f>
        <v>0</v>
      </c>
      <c r="AD113" s="116">
        <f>Ruimtestaat[[#This Row],[uren / jaar weekend]]*Tariefsopbouw!$D$40</f>
        <v>0</v>
      </c>
      <c r="AE113" s="82">
        <f>Ruimtestaat[[#This Row],[Prest. (m2 /jaar) weekend]]+Ruimtestaat[[#This Row],[Prest. (m2 /jaar) werkdagen]]</f>
        <v>0</v>
      </c>
      <c r="AF113" s="82">
        <f>Ruimtestaat[[#This Row],[uren / jaar weekend]]+Ruimtestaat[[#This Row],[uren / jaar werkdagen]]</f>
        <v>0</v>
      </c>
      <c r="AG113" s="83">
        <f>Ruimtestaat[[#This Row],[kosten / jaar weekend]]+Ruimtestaat[[#This Row],[kosten / jaar werkdagen]]</f>
        <v>0</v>
      </c>
      <c r="AH113" s="117"/>
      <c r="HL113" s="87"/>
    </row>
    <row r="114" spans="1:220" ht="15" customHeight="1">
      <c r="A114" s="136">
        <v>1</v>
      </c>
      <c r="B114" s="27" t="str">
        <f>VLOOKUP(Ruimtestaat[[#This Row],[Code]],Locaties[#All],2,FALSE)</f>
        <v>Amstelveen College</v>
      </c>
      <c r="C114" s="27" t="str">
        <f>VLOOKUP(Ruimtestaat[[#This Row],[Code]],Locaties[#All],4,FALSE)</f>
        <v>Sportlaan 27</v>
      </c>
      <c r="D114" s="27" t="str">
        <f>VLOOKUP(Ruimtestaat[[#This Row],[Code]],Locaties[#All],5,FALSE)</f>
        <v>1185 TB</v>
      </c>
      <c r="E114" s="27" t="str">
        <f>VLOOKUP(Ruimtestaat[[#This Row],[Code]],Locaties[#All],6,FALSE)</f>
        <v>Amstelveen</v>
      </c>
      <c r="F114" s="74"/>
      <c r="G114" s="27" t="s">
        <v>272</v>
      </c>
      <c r="H114" s="35">
        <v>1014</v>
      </c>
      <c r="I114" s="24" t="s">
        <v>367</v>
      </c>
      <c r="J114" s="27">
        <v>20</v>
      </c>
      <c r="K114" s="74" t="str">
        <f>VLOOKUP(J114,Ruimtegroepen[],2,FALSE)</f>
        <v>Niet in onderhoud</v>
      </c>
      <c r="M114" s="27"/>
      <c r="N114" s="107"/>
      <c r="O114" s="107">
        <v>30</v>
      </c>
      <c r="P114" s="118" t="str">
        <f>LEFT(VLOOKUP(Ruimtestaat[[#This Row],[Ruimte code]],Ruimtegroepen[#All],4,1),2)</f>
        <v/>
      </c>
      <c r="Q114" s="118"/>
      <c r="R114" s="108"/>
      <c r="S114" s="109"/>
      <c r="T114" s="110">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4" s="110">
        <f>IF(T114&gt;0,VLOOKUP($J114,Ruimtegroepen[],3,FALSE)*VLOOKUP($L114,Vloersoorten[],3,FALSE)*VLOOKUP($S114,Frequenties[],3,FALSE)*VLOOKUP($A114,Locaties[],3,FALSE),0)</f>
        <v>0</v>
      </c>
      <c r="V114" s="111">
        <f>Ruimtestaat[[#This Row],[Uitvoeringen werkdagen]]*Ruimtestaat[[#This Row],[Oppervlak (netto)]]</f>
        <v>0</v>
      </c>
      <c r="W114" s="112">
        <f>IF(U114&gt;0,Ruimtestaat[[#This Row],[Prest. (m2 /jaar) werkdagen]]/Ruimtestaat[[#This Row],[Norm (m2/uur) werkdagen]],0)</f>
        <v>0</v>
      </c>
      <c r="X114" s="113">
        <f>Ruimtestaat[[#This Row],[uren / jaar werkdagen]]*Tariefsopbouw!$E$35</f>
        <v>0</v>
      </c>
      <c r="Y114" s="110"/>
      <c r="Z114" s="114">
        <f>IF(Ruimtestaat[[#This Row],[Frequentie weekend]]&gt;0,VALUE(LEFT(Y114,1))*R114,0)</f>
        <v>0</v>
      </c>
      <c r="AA114" s="110">
        <f>IF($Z114&gt;0,VLOOKUP($J114,Ruimtegroepen[],3,FALSE)*VLOOKUP($L114,Vloersoorten[],3,FALSE)*VLOOKUP($Y114,Frequenties[],3,FALSE)*VLOOKUP($A110,Locaties[],3,FALSE),0)</f>
        <v>0</v>
      </c>
      <c r="AB114" s="112">
        <f>Ruimtestaat[[#This Row],[Uitvoeringen weekend]]*Ruimtestaat[[#This Row],[Oppervlak (netto)]]</f>
        <v>0</v>
      </c>
      <c r="AC114" s="115">
        <f>IF(AB114&gt;0,Ruimtestaat[[#This Row],[Prest. (m2 /jaar) weekend]]/Ruimtestaat[[#This Row],[Norm (m2/uur) weekend]],0)</f>
        <v>0</v>
      </c>
      <c r="AD114" s="116">
        <f>Ruimtestaat[[#This Row],[uren / jaar weekend]]*Tariefsopbouw!$D$40</f>
        <v>0</v>
      </c>
      <c r="AE114" s="82">
        <f>Ruimtestaat[[#This Row],[Prest. (m2 /jaar) weekend]]+Ruimtestaat[[#This Row],[Prest. (m2 /jaar) werkdagen]]</f>
        <v>0</v>
      </c>
      <c r="AF114" s="82">
        <f>Ruimtestaat[[#This Row],[uren / jaar weekend]]+Ruimtestaat[[#This Row],[uren / jaar werkdagen]]</f>
        <v>0</v>
      </c>
      <c r="AG114" s="83">
        <f>Ruimtestaat[[#This Row],[kosten / jaar weekend]]+Ruimtestaat[[#This Row],[kosten / jaar werkdagen]]</f>
        <v>0</v>
      </c>
      <c r="AH114" s="117"/>
      <c r="HL114" s="87"/>
    </row>
    <row r="115" spans="1:220" ht="15" customHeight="1">
      <c r="A115" s="136">
        <v>1</v>
      </c>
      <c r="B115" s="27" t="str">
        <f>VLOOKUP(Ruimtestaat[[#This Row],[Code]],Locaties[#All],2,FALSE)</f>
        <v>Amstelveen College</v>
      </c>
      <c r="C115" s="27" t="str">
        <f>VLOOKUP(Ruimtestaat[[#This Row],[Code]],Locaties[#All],4,FALSE)</f>
        <v>Sportlaan 27</v>
      </c>
      <c r="D115" s="27" t="str">
        <f>VLOOKUP(Ruimtestaat[[#This Row],[Code]],Locaties[#All],5,FALSE)</f>
        <v>1185 TB</v>
      </c>
      <c r="E115" s="27" t="str">
        <f>VLOOKUP(Ruimtestaat[[#This Row],[Code]],Locaties[#All],6,FALSE)</f>
        <v>Amstelveen</v>
      </c>
      <c r="F115" s="74"/>
      <c r="G115" s="27" t="s">
        <v>272</v>
      </c>
      <c r="H115" s="35">
        <v>1023</v>
      </c>
      <c r="I115" s="24" t="s">
        <v>521</v>
      </c>
      <c r="J115" s="27">
        <v>12</v>
      </c>
      <c r="K115" s="74" t="str">
        <f>VLOOKUP(J115,Ruimtegroepen[],2,FALSE)</f>
        <v>Kantine</v>
      </c>
      <c r="L115" s="27" t="s">
        <v>115</v>
      </c>
      <c r="M115" s="27" t="s">
        <v>271</v>
      </c>
      <c r="N115" s="107">
        <v>628</v>
      </c>
      <c r="O115" s="107"/>
      <c r="P115" s="118" t="str">
        <f>LEFT(VLOOKUP(Ruimtestaat[[#This Row],[Ruimte code]],Ruimtegroepen[#All],4,1),2)</f>
        <v xml:space="preserve">V </v>
      </c>
      <c r="Q115" s="118"/>
      <c r="R115" s="108">
        <v>42</v>
      </c>
      <c r="S115" s="109" t="s">
        <v>2</v>
      </c>
      <c r="T115" s="110">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15" s="110">
        <f>IF(T115&gt;0,VLOOKUP($J115,Ruimtegroepen[],3,FALSE)*VLOOKUP($L115,Vloersoorten[],3,FALSE)*VLOOKUP($S115,Frequenties[],3,FALSE)*VLOOKUP($A115,Locaties[],3,FALSE),0)</f>
        <v>0</v>
      </c>
      <c r="V115" s="111">
        <f>Ruimtestaat[[#This Row],[Uitvoeringen werkdagen]]*Ruimtestaat[[#This Row],[Oppervlak (netto)]]</f>
        <v>131880</v>
      </c>
      <c r="W115" s="112">
        <f>IF(U115&gt;0,Ruimtestaat[[#This Row],[Prest. (m2 /jaar) werkdagen]]/Ruimtestaat[[#This Row],[Norm (m2/uur) werkdagen]],0)</f>
        <v>0</v>
      </c>
      <c r="X115" s="113">
        <f>Ruimtestaat[[#This Row],[uren / jaar werkdagen]]*Tariefsopbouw!$E$35</f>
        <v>0</v>
      </c>
      <c r="Y115" s="110"/>
      <c r="Z115" s="114">
        <f>IF(Ruimtestaat[[#This Row],[Frequentie weekend]]&gt;0,VALUE(LEFT(Y115,1))*R115,0)</f>
        <v>0</v>
      </c>
      <c r="AA115" s="110">
        <f>IF($Z115&gt;0,VLOOKUP($J115,Ruimtegroepen[],3,FALSE)*VLOOKUP($L115,Vloersoorten[],3,FALSE)*VLOOKUP($Y115,Frequenties[],3,FALSE)*VLOOKUP($A111,Locaties[],3,FALSE),0)</f>
        <v>0</v>
      </c>
      <c r="AB115" s="112">
        <f>Ruimtestaat[[#This Row],[Uitvoeringen weekend]]*Ruimtestaat[[#This Row],[Oppervlak (netto)]]</f>
        <v>0</v>
      </c>
      <c r="AC115" s="115">
        <f>IF(AB115&gt;0,Ruimtestaat[[#This Row],[Prest. (m2 /jaar) weekend]]/Ruimtestaat[[#This Row],[Norm (m2/uur) weekend]],0)</f>
        <v>0</v>
      </c>
      <c r="AD115" s="116">
        <f>Ruimtestaat[[#This Row],[uren / jaar weekend]]*Tariefsopbouw!$D$40</f>
        <v>0</v>
      </c>
      <c r="AE115" s="82">
        <f>Ruimtestaat[[#This Row],[Prest. (m2 /jaar) weekend]]+Ruimtestaat[[#This Row],[Prest. (m2 /jaar) werkdagen]]</f>
        <v>131880</v>
      </c>
      <c r="AF115" s="82">
        <f>Ruimtestaat[[#This Row],[uren / jaar weekend]]+Ruimtestaat[[#This Row],[uren / jaar werkdagen]]</f>
        <v>0</v>
      </c>
      <c r="AG115" s="83">
        <f>Ruimtestaat[[#This Row],[kosten / jaar weekend]]+Ruimtestaat[[#This Row],[kosten / jaar werkdagen]]</f>
        <v>0</v>
      </c>
      <c r="AH115" s="117"/>
      <c r="HL115" s="87"/>
    </row>
    <row r="116" spans="1:220" ht="15" customHeight="1">
      <c r="A116" s="136">
        <v>1</v>
      </c>
      <c r="B116" s="27" t="str">
        <f>VLOOKUP(Ruimtestaat[[#This Row],[Code]],Locaties[#All],2,FALSE)</f>
        <v>Amstelveen College</v>
      </c>
      <c r="C116" s="27" t="str">
        <f>VLOOKUP(Ruimtestaat[[#This Row],[Code]],Locaties[#All],4,FALSE)</f>
        <v>Sportlaan 27</v>
      </c>
      <c r="D116" s="27" t="str">
        <f>VLOOKUP(Ruimtestaat[[#This Row],[Code]],Locaties[#All],5,FALSE)</f>
        <v>1185 TB</v>
      </c>
      <c r="E116" s="27" t="str">
        <f>VLOOKUP(Ruimtestaat[[#This Row],[Code]],Locaties[#All],6,FALSE)</f>
        <v>Amstelveen</v>
      </c>
      <c r="F116" s="74"/>
      <c r="G116" s="27" t="s">
        <v>272</v>
      </c>
      <c r="H116" s="35" t="s">
        <v>522</v>
      </c>
      <c r="I116" s="24" t="s">
        <v>523</v>
      </c>
      <c r="J116" s="27">
        <v>8</v>
      </c>
      <c r="K116" s="74" t="str">
        <f>VLOOKUP(J116,Ruimtegroepen[],2,FALSE)</f>
        <v>Mediatheek / OLC</v>
      </c>
      <c r="L116" s="27" t="s">
        <v>114</v>
      </c>
      <c r="M116" s="27" t="s">
        <v>139</v>
      </c>
      <c r="N116" s="107">
        <v>128</v>
      </c>
      <c r="O116" s="107"/>
      <c r="P116" s="118" t="str">
        <f>LEFT(VLOOKUP(Ruimtestaat[[#This Row],[Ruimte code]],Ruimtegroepen[#All],4,1),2)</f>
        <v xml:space="preserve">L </v>
      </c>
      <c r="Q116" s="118" t="s">
        <v>721</v>
      </c>
      <c r="R116" s="108">
        <v>40</v>
      </c>
      <c r="S116" s="109" t="s">
        <v>18</v>
      </c>
      <c r="T116" s="110">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16" s="110">
        <f>IF(T116&gt;0,VLOOKUP($J116,Ruimtegroepen[],3,FALSE)*VLOOKUP($L116,Vloersoorten[],3,FALSE)*VLOOKUP($S116,Frequenties[],3,FALSE)*VLOOKUP($A116,Locaties[],3,FALSE),0)</f>
        <v>0</v>
      </c>
      <c r="V116" s="111">
        <f>Ruimtestaat[[#This Row],[Uitvoeringen werkdagen]]*Ruimtestaat[[#This Row],[Oppervlak (netto)]]</f>
        <v>15360</v>
      </c>
      <c r="W116" s="112">
        <f>IF(U116&gt;0,Ruimtestaat[[#This Row],[Prest. (m2 /jaar) werkdagen]]/Ruimtestaat[[#This Row],[Norm (m2/uur) werkdagen]],0)</f>
        <v>0</v>
      </c>
      <c r="X116" s="113">
        <f>Ruimtestaat[[#This Row],[uren / jaar werkdagen]]*Tariefsopbouw!$E$35</f>
        <v>0</v>
      </c>
      <c r="Y116" s="110"/>
      <c r="Z116" s="114">
        <f>IF(Ruimtestaat[[#This Row],[Frequentie weekend]]&gt;0,VALUE(LEFT(Y116,1))*R116,0)</f>
        <v>0</v>
      </c>
      <c r="AA116" s="110">
        <f>IF($Z116&gt;0,VLOOKUP($J116,Ruimtegroepen[],3,FALSE)*VLOOKUP($L116,Vloersoorten[],3,FALSE)*VLOOKUP($Y116,Frequenties[],3,FALSE)*VLOOKUP($A112,Locaties[],3,FALSE),0)</f>
        <v>0</v>
      </c>
      <c r="AB116" s="112">
        <f>Ruimtestaat[[#This Row],[Uitvoeringen weekend]]*Ruimtestaat[[#This Row],[Oppervlak (netto)]]</f>
        <v>0</v>
      </c>
      <c r="AC116" s="115">
        <f>IF(AB116&gt;0,Ruimtestaat[[#This Row],[Prest. (m2 /jaar) weekend]]/Ruimtestaat[[#This Row],[Norm (m2/uur) weekend]],0)</f>
        <v>0</v>
      </c>
      <c r="AD116" s="116">
        <f>Ruimtestaat[[#This Row],[uren / jaar weekend]]*Tariefsopbouw!$D$40</f>
        <v>0</v>
      </c>
      <c r="AE116" s="82">
        <f>Ruimtestaat[[#This Row],[Prest. (m2 /jaar) weekend]]+Ruimtestaat[[#This Row],[Prest. (m2 /jaar) werkdagen]]</f>
        <v>15360</v>
      </c>
      <c r="AF116" s="82">
        <f>Ruimtestaat[[#This Row],[uren / jaar weekend]]+Ruimtestaat[[#This Row],[uren / jaar werkdagen]]</f>
        <v>0</v>
      </c>
      <c r="AG116" s="83">
        <f>Ruimtestaat[[#This Row],[kosten / jaar weekend]]+Ruimtestaat[[#This Row],[kosten / jaar werkdagen]]</f>
        <v>0</v>
      </c>
      <c r="AH116" s="117"/>
      <c r="HL116" s="87"/>
    </row>
    <row r="117" spans="1:220" ht="15" customHeight="1">
      <c r="A117" s="136">
        <v>1</v>
      </c>
      <c r="B117" s="27" t="str">
        <f>VLOOKUP(Ruimtestaat[[#This Row],[Code]],Locaties[#All],2,FALSE)</f>
        <v>Amstelveen College</v>
      </c>
      <c r="C117" s="27" t="str">
        <f>VLOOKUP(Ruimtestaat[[#This Row],[Code]],Locaties[#All],4,FALSE)</f>
        <v>Sportlaan 27</v>
      </c>
      <c r="D117" s="27" t="str">
        <f>VLOOKUP(Ruimtestaat[[#This Row],[Code]],Locaties[#All],5,FALSE)</f>
        <v>1185 TB</v>
      </c>
      <c r="E117" s="27" t="str">
        <f>VLOOKUP(Ruimtestaat[[#This Row],[Code]],Locaties[#All],6,FALSE)</f>
        <v>Amstelveen</v>
      </c>
      <c r="F117" s="74"/>
      <c r="G117" s="27" t="s">
        <v>272</v>
      </c>
      <c r="H117" s="35" t="s">
        <v>524</v>
      </c>
      <c r="I117" s="24" t="s">
        <v>525</v>
      </c>
      <c r="J117" s="27">
        <v>16</v>
      </c>
      <c r="K117" s="74" t="str">
        <f>VLOOKUP(J117,Ruimtegroepen[],2,FALSE)</f>
        <v>Leslokalen theorie</v>
      </c>
      <c r="L117" s="27" t="s">
        <v>114</v>
      </c>
      <c r="M117" s="27" t="s">
        <v>139</v>
      </c>
      <c r="N117" s="107">
        <v>76</v>
      </c>
      <c r="O117" s="107"/>
      <c r="P117" s="118" t="str">
        <f>LEFT(VLOOKUP(Ruimtestaat[[#This Row],[Ruimte code]],Ruimtegroepen[#All],4,1),2)</f>
        <v xml:space="preserve">L </v>
      </c>
      <c r="Q117" s="118" t="s">
        <v>721</v>
      </c>
      <c r="R117" s="108">
        <v>40</v>
      </c>
      <c r="S117" s="109" t="s">
        <v>18</v>
      </c>
      <c r="T117" s="110">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17" s="110">
        <f>IF(T117&gt;0,VLOOKUP($J117,Ruimtegroepen[],3,FALSE)*VLOOKUP($L117,Vloersoorten[],3,FALSE)*VLOOKUP($S117,Frequenties[],3,FALSE)*VLOOKUP($A117,Locaties[],3,FALSE),0)</f>
        <v>0</v>
      </c>
      <c r="V117" s="111">
        <f>Ruimtestaat[[#This Row],[Uitvoeringen werkdagen]]*Ruimtestaat[[#This Row],[Oppervlak (netto)]]</f>
        <v>9120</v>
      </c>
      <c r="W117" s="112">
        <f>IF(U117&gt;0,Ruimtestaat[[#This Row],[Prest. (m2 /jaar) werkdagen]]/Ruimtestaat[[#This Row],[Norm (m2/uur) werkdagen]],0)</f>
        <v>0</v>
      </c>
      <c r="X117" s="113">
        <f>Ruimtestaat[[#This Row],[uren / jaar werkdagen]]*Tariefsopbouw!$E$35</f>
        <v>0</v>
      </c>
      <c r="Y117" s="110"/>
      <c r="Z117" s="114">
        <f>IF(Ruimtestaat[[#This Row],[Frequentie weekend]]&gt;0,VALUE(LEFT(Y117,1))*R117,0)</f>
        <v>0</v>
      </c>
      <c r="AA117" s="110">
        <f>IF($Z117&gt;0,VLOOKUP($J117,Ruimtegroepen[],3,FALSE)*VLOOKUP($L117,Vloersoorten[],3,FALSE)*VLOOKUP($Y117,Frequenties[],3,FALSE)*VLOOKUP($A113,Locaties[],3,FALSE),0)</f>
        <v>0</v>
      </c>
      <c r="AB117" s="112">
        <f>Ruimtestaat[[#This Row],[Uitvoeringen weekend]]*Ruimtestaat[[#This Row],[Oppervlak (netto)]]</f>
        <v>0</v>
      </c>
      <c r="AC117" s="115">
        <f>IF(AB117&gt;0,Ruimtestaat[[#This Row],[Prest. (m2 /jaar) weekend]]/Ruimtestaat[[#This Row],[Norm (m2/uur) weekend]],0)</f>
        <v>0</v>
      </c>
      <c r="AD117" s="116">
        <f>Ruimtestaat[[#This Row],[uren / jaar weekend]]*Tariefsopbouw!$D$40</f>
        <v>0</v>
      </c>
      <c r="AE117" s="82">
        <f>Ruimtestaat[[#This Row],[Prest. (m2 /jaar) weekend]]+Ruimtestaat[[#This Row],[Prest. (m2 /jaar) werkdagen]]</f>
        <v>9120</v>
      </c>
      <c r="AF117" s="82">
        <f>Ruimtestaat[[#This Row],[uren / jaar weekend]]+Ruimtestaat[[#This Row],[uren / jaar werkdagen]]</f>
        <v>0</v>
      </c>
      <c r="AG117" s="83">
        <f>Ruimtestaat[[#This Row],[kosten / jaar weekend]]+Ruimtestaat[[#This Row],[kosten / jaar werkdagen]]</f>
        <v>0</v>
      </c>
      <c r="AH117" s="117"/>
      <c r="HL117" s="87"/>
    </row>
    <row r="118" spans="1:220" ht="15" customHeight="1">
      <c r="A118" s="136">
        <v>1</v>
      </c>
      <c r="B118" s="27" t="str">
        <f>VLOOKUP(Ruimtestaat[[#This Row],[Code]],Locaties[#All],2,FALSE)</f>
        <v>Amstelveen College</v>
      </c>
      <c r="C118" s="27" t="str">
        <f>VLOOKUP(Ruimtestaat[[#This Row],[Code]],Locaties[#All],4,FALSE)</f>
        <v>Sportlaan 27</v>
      </c>
      <c r="D118" s="27" t="str">
        <f>VLOOKUP(Ruimtestaat[[#This Row],[Code]],Locaties[#All],5,FALSE)</f>
        <v>1185 TB</v>
      </c>
      <c r="E118" s="27" t="str">
        <f>VLOOKUP(Ruimtestaat[[#This Row],[Code]],Locaties[#All],6,FALSE)</f>
        <v>Amstelveen</v>
      </c>
      <c r="F118" s="74"/>
      <c r="G118" s="27" t="s">
        <v>272</v>
      </c>
      <c r="H118" s="35" t="s">
        <v>526</v>
      </c>
      <c r="I118" s="24" t="s">
        <v>367</v>
      </c>
      <c r="J118" s="27">
        <v>20</v>
      </c>
      <c r="K118" s="74" t="str">
        <f>VLOOKUP(J118,Ruimtegroepen[],2,FALSE)</f>
        <v>Niet in onderhoud</v>
      </c>
      <c r="M118" s="27"/>
      <c r="N118" s="107"/>
      <c r="O118" s="107">
        <v>17</v>
      </c>
      <c r="P118" s="118" t="str">
        <f>LEFT(VLOOKUP(Ruimtestaat[[#This Row],[Ruimte code]],Ruimtegroepen[#All],4,1),2)</f>
        <v/>
      </c>
      <c r="Q118" s="118"/>
      <c r="R118" s="108"/>
      <c r="S118" s="109"/>
      <c r="T118" s="110">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8" s="110">
        <f>IF(T118&gt;0,VLOOKUP($J118,Ruimtegroepen[],3,FALSE)*VLOOKUP($L118,Vloersoorten[],3,FALSE)*VLOOKUP($S118,Frequenties[],3,FALSE)*VLOOKUP($A118,Locaties[],3,FALSE),0)</f>
        <v>0</v>
      </c>
      <c r="V118" s="111">
        <f>Ruimtestaat[[#This Row],[Uitvoeringen werkdagen]]*Ruimtestaat[[#This Row],[Oppervlak (netto)]]</f>
        <v>0</v>
      </c>
      <c r="W118" s="112">
        <f>IF(U118&gt;0,Ruimtestaat[[#This Row],[Prest. (m2 /jaar) werkdagen]]/Ruimtestaat[[#This Row],[Norm (m2/uur) werkdagen]],0)</f>
        <v>0</v>
      </c>
      <c r="X118" s="113">
        <f>Ruimtestaat[[#This Row],[uren / jaar werkdagen]]*Tariefsopbouw!$E$35</f>
        <v>0</v>
      </c>
      <c r="Y118" s="110"/>
      <c r="Z118" s="114">
        <f>IF(Ruimtestaat[[#This Row],[Frequentie weekend]]&gt;0,VALUE(LEFT(Y118,1))*R118,0)</f>
        <v>0</v>
      </c>
      <c r="AA118" s="110">
        <f>IF($Z118&gt;0,VLOOKUP($J118,Ruimtegroepen[],3,FALSE)*VLOOKUP($L118,Vloersoorten[],3,FALSE)*VLOOKUP($Y118,Frequenties[],3,FALSE)*VLOOKUP($A114,Locaties[],3,FALSE),0)</f>
        <v>0</v>
      </c>
      <c r="AB118" s="112">
        <f>Ruimtestaat[[#This Row],[Uitvoeringen weekend]]*Ruimtestaat[[#This Row],[Oppervlak (netto)]]</f>
        <v>0</v>
      </c>
      <c r="AC118" s="115">
        <f>IF(AB118&gt;0,Ruimtestaat[[#This Row],[Prest. (m2 /jaar) weekend]]/Ruimtestaat[[#This Row],[Norm (m2/uur) weekend]],0)</f>
        <v>0</v>
      </c>
      <c r="AD118" s="116">
        <f>Ruimtestaat[[#This Row],[uren / jaar weekend]]*Tariefsopbouw!$D$40</f>
        <v>0</v>
      </c>
      <c r="AE118" s="82">
        <f>Ruimtestaat[[#This Row],[Prest. (m2 /jaar) weekend]]+Ruimtestaat[[#This Row],[Prest. (m2 /jaar) werkdagen]]</f>
        <v>0</v>
      </c>
      <c r="AF118" s="82">
        <f>Ruimtestaat[[#This Row],[uren / jaar weekend]]+Ruimtestaat[[#This Row],[uren / jaar werkdagen]]</f>
        <v>0</v>
      </c>
      <c r="AG118" s="83">
        <f>Ruimtestaat[[#This Row],[kosten / jaar weekend]]+Ruimtestaat[[#This Row],[kosten / jaar werkdagen]]</f>
        <v>0</v>
      </c>
      <c r="AH118" s="117"/>
      <c r="HL118" s="87"/>
    </row>
    <row r="119" spans="1:220" ht="15" customHeight="1">
      <c r="A119" s="136">
        <v>1</v>
      </c>
      <c r="B119" s="27" t="str">
        <f>VLOOKUP(Ruimtestaat[[#This Row],[Code]],Locaties[#All],2,FALSE)</f>
        <v>Amstelveen College</v>
      </c>
      <c r="C119" s="27" t="str">
        <f>VLOOKUP(Ruimtestaat[[#This Row],[Code]],Locaties[#All],4,FALSE)</f>
        <v>Sportlaan 27</v>
      </c>
      <c r="D119" s="27" t="str">
        <f>VLOOKUP(Ruimtestaat[[#This Row],[Code]],Locaties[#All],5,FALSE)</f>
        <v>1185 TB</v>
      </c>
      <c r="E119" s="27" t="str">
        <f>VLOOKUP(Ruimtestaat[[#This Row],[Code]],Locaties[#All],6,FALSE)</f>
        <v>Amstelveen</v>
      </c>
      <c r="F119" s="74"/>
      <c r="G119" s="27" t="s">
        <v>272</v>
      </c>
      <c r="H119" s="35" t="s">
        <v>527</v>
      </c>
      <c r="I119" s="24" t="s">
        <v>465</v>
      </c>
      <c r="J119" s="27">
        <v>5</v>
      </c>
      <c r="K119" s="74" t="str">
        <f>VLOOKUP(J119,Ruimtegroepen[],2,FALSE)</f>
        <v>Sanitair</v>
      </c>
      <c r="L119" s="27" t="s">
        <v>115</v>
      </c>
      <c r="M119" s="27" t="s">
        <v>271</v>
      </c>
      <c r="N119" s="107">
        <v>8</v>
      </c>
      <c r="O119" s="107"/>
      <c r="P119" s="118" t="str">
        <f>LEFT(VLOOKUP(Ruimtestaat[[#This Row],[Ruimte code]],Ruimtegroepen[#All],4,1),2)</f>
        <v xml:space="preserve">S </v>
      </c>
      <c r="Q119" s="118" t="s">
        <v>721</v>
      </c>
      <c r="R119" s="108">
        <v>42</v>
      </c>
      <c r="S119" s="109" t="s">
        <v>19</v>
      </c>
      <c r="T119" s="110">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19" s="110">
        <f>IF(T119&gt;0,VLOOKUP($J119,Ruimtegroepen[],3,FALSE)*VLOOKUP($L119,Vloersoorten[],3,FALSE)*VLOOKUP($S119,Frequenties[],3,FALSE)*VLOOKUP($A119,Locaties[],3,FALSE),0)</f>
        <v>0</v>
      </c>
      <c r="V119" s="111">
        <f>Ruimtestaat[[#This Row],[Uitvoeringen werkdagen]]*Ruimtestaat[[#This Row],[Oppervlak (netto)]]</f>
        <v>3360</v>
      </c>
      <c r="W119" s="112">
        <f>IF(U119&gt;0,Ruimtestaat[[#This Row],[Prest. (m2 /jaar) werkdagen]]/Ruimtestaat[[#This Row],[Norm (m2/uur) werkdagen]],0)</f>
        <v>0</v>
      </c>
      <c r="X119" s="113">
        <f>Ruimtestaat[[#This Row],[uren / jaar werkdagen]]*Tariefsopbouw!$E$35</f>
        <v>0</v>
      </c>
      <c r="Y119" s="110"/>
      <c r="Z119" s="114">
        <f>IF(Ruimtestaat[[#This Row],[Frequentie weekend]]&gt;0,VALUE(LEFT(Y119,1))*R119,0)</f>
        <v>0</v>
      </c>
      <c r="AA119" s="110">
        <f>IF($Z119&gt;0,VLOOKUP($J119,Ruimtegroepen[],3,FALSE)*VLOOKUP($L119,Vloersoorten[],3,FALSE)*VLOOKUP($Y119,Frequenties[],3,FALSE)*VLOOKUP($A114,Locaties[],3,FALSE),0)</f>
        <v>0</v>
      </c>
      <c r="AB119" s="112">
        <f>Ruimtestaat[[#This Row],[Uitvoeringen weekend]]*Ruimtestaat[[#This Row],[Oppervlak (netto)]]</f>
        <v>0</v>
      </c>
      <c r="AC119" s="115">
        <f>IF(AB119&gt;0,Ruimtestaat[[#This Row],[Prest. (m2 /jaar) weekend]]/Ruimtestaat[[#This Row],[Norm (m2/uur) weekend]],0)</f>
        <v>0</v>
      </c>
      <c r="AD119" s="116">
        <f>Ruimtestaat[[#This Row],[uren / jaar weekend]]*Tariefsopbouw!$D$40</f>
        <v>0</v>
      </c>
      <c r="AE119" s="82">
        <f>Ruimtestaat[[#This Row],[Prest. (m2 /jaar) weekend]]+Ruimtestaat[[#This Row],[Prest. (m2 /jaar) werkdagen]]</f>
        <v>3360</v>
      </c>
      <c r="AF119" s="82">
        <f>Ruimtestaat[[#This Row],[uren / jaar weekend]]+Ruimtestaat[[#This Row],[uren / jaar werkdagen]]</f>
        <v>0</v>
      </c>
      <c r="AG119" s="83">
        <f>Ruimtestaat[[#This Row],[kosten / jaar weekend]]+Ruimtestaat[[#This Row],[kosten / jaar werkdagen]]</f>
        <v>0</v>
      </c>
      <c r="AH119" s="117"/>
      <c r="HL119" s="87"/>
    </row>
    <row r="120" spans="1:220" ht="15" customHeight="1">
      <c r="A120" s="136">
        <v>1</v>
      </c>
      <c r="B120" s="27" t="str">
        <f>VLOOKUP(Ruimtestaat[[#This Row],[Code]],Locaties[#All],2,FALSE)</f>
        <v>Amstelveen College</v>
      </c>
      <c r="C120" s="27" t="str">
        <f>VLOOKUP(Ruimtestaat[[#This Row],[Code]],Locaties[#All],4,FALSE)</f>
        <v>Sportlaan 27</v>
      </c>
      <c r="D120" s="27" t="str">
        <f>VLOOKUP(Ruimtestaat[[#This Row],[Code]],Locaties[#All],5,FALSE)</f>
        <v>1185 TB</v>
      </c>
      <c r="E120" s="27" t="str">
        <f>VLOOKUP(Ruimtestaat[[#This Row],[Code]],Locaties[#All],6,FALSE)</f>
        <v>Amstelveen</v>
      </c>
      <c r="F120" s="74"/>
      <c r="G120" s="27" t="s">
        <v>272</v>
      </c>
      <c r="H120" s="35" t="s">
        <v>528</v>
      </c>
      <c r="I120" s="24" t="s">
        <v>464</v>
      </c>
      <c r="J120" s="27">
        <v>5</v>
      </c>
      <c r="K120" s="74" t="str">
        <f>VLOOKUP(J120,Ruimtegroepen[],2,FALSE)</f>
        <v>Sanitair</v>
      </c>
      <c r="L120" s="27" t="s">
        <v>115</v>
      </c>
      <c r="M120" s="27" t="s">
        <v>271</v>
      </c>
      <c r="N120" s="107">
        <v>7</v>
      </c>
      <c r="O120" s="107"/>
      <c r="P120" s="118" t="str">
        <f>LEFT(VLOOKUP(Ruimtestaat[[#This Row],[Ruimte code]],Ruimtegroepen[#All],4,1),2)</f>
        <v xml:space="preserve">S </v>
      </c>
      <c r="Q120" s="118" t="s">
        <v>721</v>
      </c>
      <c r="R120" s="108">
        <v>42</v>
      </c>
      <c r="S120" s="109" t="s">
        <v>19</v>
      </c>
      <c r="T120" s="110">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20" s="110">
        <f>IF(T120&gt;0,VLOOKUP($J120,Ruimtegroepen[],3,FALSE)*VLOOKUP($L120,Vloersoorten[],3,FALSE)*VLOOKUP($S120,Frequenties[],3,FALSE)*VLOOKUP($A120,Locaties[],3,FALSE),0)</f>
        <v>0</v>
      </c>
      <c r="V120" s="111">
        <f>Ruimtestaat[[#This Row],[Uitvoeringen werkdagen]]*Ruimtestaat[[#This Row],[Oppervlak (netto)]]</f>
        <v>2940</v>
      </c>
      <c r="W120" s="112">
        <f>IF(U120&gt;0,Ruimtestaat[[#This Row],[Prest. (m2 /jaar) werkdagen]]/Ruimtestaat[[#This Row],[Norm (m2/uur) werkdagen]],0)</f>
        <v>0</v>
      </c>
      <c r="X120" s="113">
        <f>Ruimtestaat[[#This Row],[uren / jaar werkdagen]]*Tariefsopbouw!$E$35</f>
        <v>0</v>
      </c>
      <c r="Y120" s="110"/>
      <c r="Z120" s="114">
        <f>IF(Ruimtestaat[[#This Row],[Frequentie weekend]]&gt;0,VALUE(LEFT(Y120,1))*R120,0)</f>
        <v>0</v>
      </c>
      <c r="AA120" s="110">
        <f>IF($Z120&gt;0,VLOOKUP($J120,Ruimtegroepen[],3,FALSE)*VLOOKUP($L120,Vloersoorten[],3,FALSE)*VLOOKUP($Y120,Frequenties[],3,FALSE)*VLOOKUP($A115,Locaties[],3,FALSE),0)</f>
        <v>0</v>
      </c>
      <c r="AB120" s="112">
        <f>Ruimtestaat[[#This Row],[Uitvoeringen weekend]]*Ruimtestaat[[#This Row],[Oppervlak (netto)]]</f>
        <v>0</v>
      </c>
      <c r="AC120" s="115">
        <f>IF(AB120&gt;0,Ruimtestaat[[#This Row],[Prest. (m2 /jaar) weekend]]/Ruimtestaat[[#This Row],[Norm (m2/uur) weekend]],0)</f>
        <v>0</v>
      </c>
      <c r="AD120" s="116">
        <f>Ruimtestaat[[#This Row],[uren / jaar weekend]]*Tariefsopbouw!$D$40</f>
        <v>0</v>
      </c>
      <c r="AE120" s="82">
        <f>Ruimtestaat[[#This Row],[Prest. (m2 /jaar) weekend]]+Ruimtestaat[[#This Row],[Prest. (m2 /jaar) werkdagen]]</f>
        <v>2940</v>
      </c>
      <c r="AF120" s="82">
        <f>Ruimtestaat[[#This Row],[uren / jaar weekend]]+Ruimtestaat[[#This Row],[uren / jaar werkdagen]]</f>
        <v>0</v>
      </c>
      <c r="AG120" s="83">
        <f>Ruimtestaat[[#This Row],[kosten / jaar weekend]]+Ruimtestaat[[#This Row],[kosten / jaar werkdagen]]</f>
        <v>0</v>
      </c>
      <c r="AH120" s="117"/>
      <c r="HL120" s="87"/>
    </row>
    <row r="121" spans="1:220" ht="15" customHeight="1">
      <c r="A121" s="136">
        <v>1</v>
      </c>
      <c r="B121" s="27" t="str">
        <f>VLOOKUP(Ruimtestaat[[#This Row],[Code]],Locaties[#All],2,FALSE)</f>
        <v>Amstelveen College</v>
      </c>
      <c r="C121" s="27" t="str">
        <f>VLOOKUP(Ruimtestaat[[#This Row],[Code]],Locaties[#All],4,FALSE)</f>
        <v>Sportlaan 27</v>
      </c>
      <c r="D121" s="27" t="str">
        <f>VLOOKUP(Ruimtestaat[[#This Row],[Code]],Locaties[#All],5,FALSE)</f>
        <v>1185 TB</v>
      </c>
      <c r="E121" s="27" t="str">
        <f>VLOOKUP(Ruimtestaat[[#This Row],[Code]],Locaties[#All],6,FALSE)</f>
        <v>Amstelveen</v>
      </c>
      <c r="F121" s="74"/>
      <c r="G121" s="27" t="s">
        <v>272</v>
      </c>
      <c r="H121" s="35" t="s">
        <v>529</v>
      </c>
      <c r="I121" s="24" t="s">
        <v>530</v>
      </c>
      <c r="J121" s="27">
        <v>14</v>
      </c>
      <c r="K121" s="74" t="str">
        <f>VLOOKUP(J121,Ruimtegroepen[],2,FALSE)</f>
        <v>Praktijklokalen binas/zorg</v>
      </c>
      <c r="L121" s="27" t="s">
        <v>115</v>
      </c>
      <c r="M121" s="27" t="s">
        <v>271</v>
      </c>
      <c r="N121" s="107">
        <v>59</v>
      </c>
      <c r="O121" s="107"/>
      <c r="P121" s="118" t="str">
        <f>LEFT(VLOOKUP(Ruimtestaat[[#This Row],[Ruimte code]],Ruimtegroepen[#All],4,1),2)</f>
        <v xml:space="preserve">L </v>
      </c>
      <c r="Q121" s="118" t="s">
        <v>721</v>
      </c>
      <c r="R121" s="108">
        <v>40</v>
      </c>
      <c r="S121" s="109" t="s">
        <v>18</v>
      </c>
      <c r="T121" s="110">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21" s="110">
        <f>IF(T121&gt;0,VLOOKUP($J121,Ruimtegroepen[],3,FALSE)*VLOOKUP($L121,Vloersoorten[],3,FALSE)*VLOOKUP($S121,Frequenties[],3,FALSE)*VLOOKUP($A121,Locaties[],3,FALSE),0)</f>
        <v>0</v>
      </c>
      <c r="V121" s="111">
        <f>Ruimtestaat[[#This Row],[Uitvoeringen werkdagen]]*Ruimtestaat[[#This Row],[Oppervlak (netto)]]</f>
        <v>7080</v>
      </c>
      <c r="W121" s="112">
        <f>IF(U121&gt;0,Ruimtestaat[[#This Row],[Prest. (m2 /jaar) werkdagen]]/Ruimtestaat[[#This Row],[Norm (m2/uur) werkdagen]],0)</f>
        <v>0</v>
      </c>
      <c r="X121" s="113">
        <f>Ruimtestaat[[#This Row],[uren / jaar werkdagen]]*Tariefsopbouw!$E$35</f>
        <v>0</v>
      </c>
      <c r="Y121" s="110"/>
      <c r="Z121" s="114">
        <f>IF(Ruimtestaat[[#This Row],[Frequentie weekend]]&gt;0,VALUE(LEFT(Y121,1))*R121,0)</f>
        <v>0</v>
      </c>
      <c r="AA121" s="110">
        <f>IF($Z121&gt;0,VLOOKUP($J121,Ruimtegroepen[],3,FALSE)*VLOOKUP($L121,Vloersoorten[],3,FALSE)*VLOOKUP($Y121,Frequenties[],3,FALSE)*VLOOKUP($A116,Locaties[],3,FALSE),0)</f>
        <v>0</v>
      </c>
      <c r="AB121" s="112">
        <f>Ruimtestaat[[#This Row],[Uitvoeringen weekend]]*Ruimtestaat[[#This Row],[Oppervlak (netto)]]</f>
        <v>0</v>
      </c>
      <c r="AC121" s="115">
        <f>IF(AB121&gt;0,Ruimtestaat[[#This Row],[Prest. (m2 /jaar) weekend]]/Ruimtestaat[[#This Row],[Norm (m2/uur) weekend]],0)</f>
        <v>0</v>
      </c>
      <c r="AD121" s="116">
        <f>Ruimtestaat[[#This Row],[uren / jaar weekend]]*Tariefsopbouw!$D$40</f>
        <v>0</v>
      </c>
      <c r="AE121" s="82">
        <f>Ruimtestaat[[#This Row],[Prest. (m2 /jaar) weekend]]+Ruimtestaat[[#This Row],[Prest. (m2 /jaar) werkdagen]]</f>
        <v>7080</v>
      </c>
      <c r="AF121" s="82">
        <f>Ruimtestaat[[#This Row],[uren / jaar weekend]]+Ruimtestaat[[#This Row],[uren / jaar werkdagen]]</f>
        <v>0</v>
      </c>
      <c r="AG121" s="83">
        <f>Ruimtestaat[[#This Row],[kosten / jaar weekend]]+Ruimtestaat[[#This Row],[kosten / jaar werkdagen]]</f>
        <v>0</v>
      </c>
      <c r="AH121" s="117"/>
      <c r="HL121" s="87"/>
    </row>
    <row r="122" spans="1:220" ht="15" customHeight="1">
      <c r="A122" s="136">
        <v>1</v>
      </c>
      <c r="B122" s="27" t="str">
        <f>VLOOKUP(Ruimtestaat[[#This Row],[Code]],Locaties[#All],2,FALSE)</f>
        <v>Amstelveen College</v>
      </c>
      <c r="C122" s="27" t="str">
        <f>VLOOKUP(Ruimtestaat[[#This Row],[Code]],Locaties[#All],4,FALSE)</f>
        <v>Sportlaan 27</v>
      </c>
      <c r="D122" s="27" t="str">
        <f>VLOOKUP(Ruimtestaat[[#This Row],[Code]],Locaties[#All],5,FALSE)</f>
        <v>1185 TB</v>
      </c>
      <c r="E122" s="27" t="str">
        <f>VLOOKUP(Ruimtestaat[[#This Row],[Code]],Locaties[#All],6,FALSE)</f>
        <v>Amstelveen</v>
      </c>
      <c r="F122" s="74"/>
      <c r="G122" s="27" t="s">
        <v>272</v>
      </c>
      <c r="H122" s="35" t="s">
        <v>531</v>
      </c>
      <c r="I122" s="24" t="s">
        <v>532</v>
      </c>
      <c r="J122" s="27">
        <v>16</v>
      </c>
      <c r="K122" s="74" t="str">
        <f>VLOOKUP(J122,Ruimtegroepen[],2,FALSE)</f>
        <v>Leslokalen theorie</v>
      </c>
      <c r="L122" s="27" t="s">
        <v>114</v>
      </c>
      <c r="M122" s="27" t="s">
        <v>139</v>
      </c>
      <c r="N122" s="107">
        <v>71</v>
      </c>
      <c r="O122" s="107"/>
      <c r="P122" s="118" t="str">
        <f>LEFT(VLOOKUP(Ruimtestaat[[#This Row],[Ruimte code]],Ruimtegroepen[#All],4,1),2)</f>
        <v xml:space="preserve">L </v>
      </c>
      <c r="Q122" s="118" t="s">
        <v>721</v>
      </c>
      <c r="R122" s="108">
        <v>40</v>
      </c>
      <c r="S122" s="109" t="s">
        <v>18</v>
      </c>
      <c r="T122" s="110">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22" s="110">
        <f>IF(T122&gt;0,VLOOKUP($J122,Ruimtegroepen[],3,FALSE)*VLOOKUP($L122,Vloersoorten[],3,FALSE)*VLOOKUP($S122,Frequenties[],3,FALSE)*VLOOKUP($A122,Locaties[],3,FALSE),0)</f>
        <v>0</v>
      </c>
      <c r="V122" s="111">
        <f>Ruimtestaat[[#This Row],[Uitvoeringen werkdagen]]*Ruimtestaat[[#This Row],[Oppervlak (netto)]]</f>
        <v>8520</v>
      </c>
      <c r="W122" s="112">
        <f>IF(U122&gt;0,Ruimtestaat[[#This Row],[Prest. (m2 /jaar) werkdagen]]/Ruimtestaat[[#This Row],[Norm (m2/uur) werkdagen]],0)</f>
        <v>0</v>
      </c>
      <c r="X122" s="113">
        <f>Ruimtestaat[[#This Row],[uren / jaar werkdagen]]*Tariefsopbouw!$E$35</f>
        <v>0</v>
      </c>
      <c r="Y122" s="110"/>
      <c r="Z122" s="114">
        <f>IF(Ruimtestaat[[#This Row],[Frequentie weekend]]&gt;0,VALUE(LEFT(Y122,1))*R122,0)</f>
        <v>0</v>
      </c>
      <c r="AA122" s="110">
        <f>IF($Z122&gt;0,VLOOKUP($J122,Ruimtegroepen[],3,FALSE)*VLOOKUP($L122,Vloersoorten[],3,FALSE)*VLOOKUP($Y122,Frequenties[],3,FALSE)*VLOOKUP($A117,Locaties[],3,FALSE),0)</f>
        <v>0</v>
      </c>
      <c r="AB122" s="112">
        <f>Ruimtestaat[[#This Row],[Uitvoeringen weekend]]*Ruimtestaat[[#This Row],[Oppervlak (netto)]]</f>
        <v>0</v>
      </c>
      <c r="AC122" s="115">
        <f>IF(AB122&gt;0,Ruimtestaat[[#This Row],[Prest. (m2 /jaar) weekend]]/Ruimtestaat[[#This Row],[Norm (m2/uur) weekend]],0)</f>
        <v>0</v>
      </c>
      <c r="AD122" s="116">
        <f>Ruimtestaat[[#This Row],[uren / jaar weekend]]*Tariefsopbouw!$D$40</f>
        <v>0</v>
      </c>
      <c r="AE122" s="82">
        <f>Ruimtestaat[[#This Row],[Prest. (m2 /jaar) weekend]]+Ruimtestaat[[#This Row],[Prest. (m2 /jaar) werkdagen]]</f>
        <v>8520</v>
      </c>
      <c r="AF122" s="82">
        <f>Ruimtestaat[[#This Row],[uren / jaar weekend]]+Ruimtestaat[[#This Row],[uren / jaar werkdagen]]</f>
        <v>0</v>
      </c>
      <c r="AG122" s="83">
        <f>Ruimtestaat[[#This Row],[kosten / jaar weekend]]+Ruimtestaat[[#This Row],[kosten / jaar werkdagen]]</f>
        <v>0</v>
      </c>
      <c r="AH122" s="117"/>
      <c r="HL122" s="87"/>
    </row>
    <row r="123" spans="1:220" ht="15" customHeight="1">
      <c r="A123" s="136">
        <v>1</v>
      </c>
      <c r="B123" s="27" t="str">
        <f>VLOOKUP(Ruimtestaat[[#This Row],[Code]],Locaties[#All],2,FALSE)</f>
        <v>Amstelveen College</v>
      </c>
      <c r="C123" s="27" t="str">
        <f>VLOOKUP(Ruimtestaat[[#This Row],[Code]],Locaties[#All],4,FALSE)</f>
        <v>Sportlaan 27</v>
      </c>
      <c r="D123" s="27" t="str">
        <f>VLOOKUP(Ruimtestaat[[#This Row],[Code]],Locaties[#All],5,FALSE)</f>
        <v>1185 TB</v>
      </c>
      <c r="E123" s="27" t="str">
        <f>VLOOKUP(Ruimtestaat[[#This Row],[Code]],Locaties[#All],6,FALSE)</f>
        <v>Amstelveen</v>
      </c>
      <c r="F123" s="74"/>
      <c r="G123" s="27" t="s">
        <v>272</v>
      </c>
      <c r="H123" s="35" t="s">
        <v>533</v>
      </c>
      <c r="I123" s="24" t="s">
        <v>534</v>
      </c>
      <c r="J123" s="27">
        <v>20</v>
      </c>
      <c r="K123" s="74" t="str">
        <f>VLOOKUP(J123,Ruimtegroepen[],2,FALSE)</f>
        <v>Niet in onderhoud</v>
      </c>
      <c r="M123" s="27"/>
      <c r="N123" s="107"/>
      <c r="O123" s="107">
        <v>15</v>
      </c>
      <c r="P123" s="118" t="str">
        <f>LEFT(VLOOKUP(Ruimtestaat[[#This Row],[Ruimte code]],Ruimtegroepen[#All],4,1),2)</f>
        <v/>
      </c>
      <c r="Q123" s="118"/>
      <c r="R123" s="108"/>
      <c r="S123" s="109"/>
      <c r="T123" s="110">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3" s="110">
        <f>IF(T123&gt;0,VLOOKUP($J123,Ruimtegroepen[],3,FALSE)*VLOOKUP($L123,Vloersoorten[],3,FALSE)*VLOOKUP($S123,Frequenties[],3,FALSE)*VLOOKUP($A123,Locaties[],3,FALSE),0)</f>
        <v>0</v>
      </c>
      <c r="V123" s="111">
        <f>Ruimtestaat[[#This Row],[Uitvoeringen werkdagen]]*Ruimtestaat[[#This Row],[Oppervlak (netto)]]</f>
        <v>0</v>
      </c>
      <c r="W123" s="112">
        <f>IF(U123&gt;0,Ruimtestaat[[#This Row],[Prest. (m2 /jaar) werkdagen]]/Ruimtestaat[[#This Row],[Norm (m2/uur) werkdagen]],0)</f>
        <v>0</v>
      </c>
      <c r="X123" s="113">
        <f>Ruimtestaat[[#This Row],[uren / jaar werkdagen]]*Tariefsopbouw!$E$35</f>
        <v>0</v>
      </c>
      <c r="Y123" s="110"/>
      <c r="Z123" s="114">
        <f>IF(Ruimtestaat[[#This Row],[Frequentie weekend]]&gt;0,VALUE(LEFT(Y123,1))*R123,0)</f>
        <v>0</v>
      </c>
      <c r="AA123" s="110">
        <f>IF($Z123&gt;0,VLOOKUP($J123,Ruimtegroepen[],3,FALSE)*VLOOKUP($L123,Vloersoorten[],3,FALSE)*VLOOKUP($Y123,Frequenties[],3,FALSE)*VLOOKUP($A119,Locaties[],3,FALSE),0)</f>
        <v>0</v>
      </c>
      <c r="AB123" s="112">
        <f>Ruimtestaat[[#This Row],[Uitvoeringen weekend]]*Ruimtestaat[[#This Row],[Oppervlak (netto)]]</f>
        <v>0</v>
      </c>
      <c r="AC123" s="115">
        <f>IF(AB123&gt;0,Ruimtestaat[[#This Row],[Prest. (m2 /jaar) weekend]]/Ruimtestaat[[#This Row],[Norm (m2/uur) weekend]],0)</f>
        <v>0</v>
      </c>
      <c r="AD123" s="116">
        <f>Ruimtestaat[[#This Row],[uren / jaar weekend]]*Tariefsopbouw!$D$40</f>
        <v>0</v>
      </c>
      <c r="AE123" s="82">
        <f>Ruimtestaat[[#This Row],[Prest. (m2 /jaar) weekend]]+Ruimtestaat[[#This Row],[Prest. (m2 /jaar) werkdagen]]</f>
        <v>0</v>
      </c>
      <c r="AF123" s="82">
        <f>Ruimtestaat[[#This Row],[uren / jaar weekend]]+Ruimtestaat[[#This Row],[uren / jaar werkdagen]]</f>
        <v>0</v>
      </c>
      <c r="AG123" s="83">
        <f>Ruimtestaat[[#This Row],[kosten / jaar weekend]]+Ruimtestaat[[#This Row],[kosten / jaar werkdagen]]</f>
        <v>0</v>
      </c>
      <c r="AH123" s="117"/>
      <c r="HL123" s="87"/>
    </row>
    <row r="124" spans="1:220" ht="15" customHeight="1">
      <c r="A124" s="136">
        <v>1</v>
      </c>
      <c r="B124" s="27" t="str">
        <f>VLOOKUP(Ruimtestaat[[#This Row],[Code]],Locaties[#All],2,FALSE)</f>
        <v>Amstelveen College</v>
      </c>
      <c r="C124" s="27" t="str">
        <f>VLOOKUP(Ruimtestaat[[#This Row],[Code]],Locaties[#All],4,FALSE)</f>
        <v>Sportlaan 27</v>
      </c>
      <c r="D124" s="27" t="str">
        <f>VLOOKUP(Ruimtestaat[[#This Row],[Code]],Locaties[#All],5,FALSE)</f>
        <v>1185 TB</v>
      </c>
      <c r="E124" s="27" t="str">
        <f>VLOOKUP(Ruimtestaat[[#This Row],[Code]],Locaties[#All],6,FALSE)</f>
        <v>Amstelveen</v>
      </c>
      <c r="F124" s="74"/>
      <c r="G124" s="27" t="s">
        <v>272</v>
      </c>
      <c r="H124" s="35">
        <v>1077</v>
      </c>
      <c r="I124" s="24" t="s">
        <v>535</v>
      </c>
      <c r="J124" s="27">
        <v>10</v>
      </c>
      <c r="K124" s="74" t="str">
        <f>VLOOKUP(J124,Ruimtegroepen[],2,FALSE)</f>
        <v>Trappenhuizen/lift</v>
      </c>
      <c r="L124" s="27" t="s">
        <v>115</v>
      </c>
      <c r="M124" s="27" t="s">
        <v>275</v>
      </c>
      <c r="N124" s="107">
        <v>3</v>
      </c>
      <c r="O124" s="107"/>
      <c r="P124" s="118" t="str">
        <f>LEFT(VLOOKUP(Ruimtestaat[[#This Row],[Ruimte code]],Ruimtegroepen[#All],4,1),2)</f>
        <v xml:space="preserve">V </v>
      </c>
      <c r="Q124" s="118"/>
      <c r="R124" s="108">
        <v>40</v>
      </c>
      <c r="S124" s="109" t="s">
        <v>2</v>
      </c>
      <c r="T124" s="110">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110">
        <f>IF(T124&gt;0,VLOOKUP($J124,Ruimtegroepen[],3,FALSE)*VLOOKUP($L124,Vloersoorten[],3,FALSE)*VLOOKUP($S124,Frequenties[],3,FALSE)*VLOOKUP($A124,Locaties[],3,FALSE),0)</f>
        <v>0</v>
      </c>
      <c r="V124" s="111">
        <f>Ruimtestaat[[#This Row],[Uitvoeringen werkdagen]]*Ruimtestaat[[#This Row],[Oppervlak (netto)]]</f>
        <v>600</v>
      </c>
      <c r="W124" s="112">
        <f>IF(U124&gt;0,Ruimtestaat[[#This Row],[Prest. (m2 /jaar) werkdagen]]/Ruimtestaat[[#This Row],[Norm (m2/uur) werkdagen]],0)</f>
        <v>0</v>
      </c>
      <c r="X124" s="113">
        <f>Ruimtestaat[[#This Row],[uren / jaar werkdagen]]*Tariefsopbouw!$E$35</f>
        <v>0</v>
      </c>
      <c r="Y124" s="110"/>
      <c r="Z124" s="114">
        <f>IF(Ruimtestaat[[#This Row],[Frequentie weekend]]&gt;0,VALUE(LEFT(Y124,1))*R124,0)</f>
        <v>0</v>
      </c>
      <c r="AA124" s="110">
        <f>IF($Z124&gt;0,VLOOKUP($J124,Ruimtegroepen[],3,FALSE)*VLOOKUP($L124,Vloersoorten[],3,FALSE)*VLOOKUP($Y124,Frequenties[],3,FALSE)*VLOOKUP($A120,Locaties[],3,FALSE),0)</f>
        <v>0</v>
      </c>
      <c r="AB124" s="112">
        <f>Ruimtestaat[[#This Row],[Uitvoeringen weekend]]*Ruimtestaat[[#This Row],[Oppervlak (netto)]]</f>
        <v>0</v>
      </c>
      <c r="AC124" s="115">
        <f>IF(AB124&gt;0,Ruimtestaat[[#This Row],[Prest. (m2 /jaar) weekend]]/Ruimtestaat[[#This Row],[Norm (m2/uur) weekend]],0)</f>
        <v>0</v>
      </c>
      <c r="AD124" s="116">
        <f>Ruimtestaat[[#This Row],[uren / jaar weekend]]*Tariefsopbouw!$D$40</f>
        <v>0</v>
      </c>
      <c r="AE124" s="82">
        <f>Ruimtestaat[[#This Row],[Prest. (m2 /jaar) weekend]]+Ruimtestaat[[#This Row],[Prest. (m2 /jaar) werkdagen]]</f>
        <v>600</v>
      </c>
      <c r="AF124" s="82">
        <f>Ruimtestaat[[#This Row],[uren / jaar weekend]]+Ruimtestaat[[#This Row],[uren / jaar werkdagen]]</f>
        <v>0</v>
      </c>
      <c r="AG124" s="83">
        <f>Ruimtestaat[[#This Row],[kosten / jaar weekend]]+Ruimtestaat[[#This Row],[kosten / jaar werkdagen]]</f>
        <v>0</v>
      </c>
      <c r="AH124" s="117"/>
      <c r="HL124" s="87"/>
    </row>
    <row r="125" spans="1:220" ht="15" customHeight="1">
      <c r="A125" s="136">
        <v>1</v>
      </c>
      <c r="B125" s="27" t="str">
        <f>VLOOKUP(Ruimtestaat[[#This Row],[Code]],Locaties[#All],2,FALSE)</f>
        <v>Amstelveen College</v>
      </c>
      <c r="C125" s="27" t="str">
        <f>VLOOKUP(Ruimtestaat[[#This Row],[Code]],Locaties[#All],4,FALSE)</f>
        <v>Sportlaan 27</v>
      </c>
      <c r="D125" s="27" t="str">
        <f>VLOOKUP(Ruimtestaat[[#This Row],[Code]],Locaties[#All],5,FALSE)</f>
        <v>1185 TB</v>
      </c>
      <c r="E125" s="27" t="str">
        <f>VLOOKUP(Ruimtestaat[[#This Row],[Code]],Locaties[#All],6,FALSE)</f>
        <v>Amstelveen</v>
      </c>
      <c r="F125" s="74"/>
      <c r="G125" s="27" t="s">
        <v>272</v>
      </c>
      <c r="H125" s="35">
        <v>1076</v>
      </c>
      <c r="I125" s="24" t="s">
        <v>536</v>
      </c>
      <c r="J125" s="27">
        <v>9</v>
      </c>
      <c r="K125" s="74" t="str">
        <f>VLOOKUP(J125,Ruimtegroepen[],2,FALSE)</f>
        <v>Publieksruimte</v>
      </c>
      <c r="L125" s="27" t="s">
        <v>114</v>
      </c>
      <c r="M125" s="27" t="s">
        <v>139</v>
      </c>
      <c r="N125" s="107">
        <v>155</v>
      </c>
      <c r="O125" s="107"/>
      <c r="P125" s="118" t="str">
        <f>LEFT(VLOOKUP(Ruimtestaat[[#This Row],[Ruimte code]],Ruimtegroepen[#All],4,1),2)</f>
        <v xml:space="preserve">V </v>
      </c>
      <c r="Q125" s="118"/>
      <c r="R125" s="108">
        <v>40</v>
      </c>
      <c r="S125" s="109" t="s">
        <v>2</v>
      </c>
      <c r="T125" s="110">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5" s="110">
        <f>IF(T125&gt;0,VLOOKUP($J125,Ruimtegroepen[],3,FALSE)*VLOOKUP($L125,Vloersoorten[],3,FALSE)*VLOOKUP($S125,Frequenties[],3,FALSE)*VLOOKUP($A125,Locaties[],3,FALSE),0)</f>
        <v>0</v>
      </c>
      <c r="V125" s="111">
        <f>Ruimtestaat[[#This Row],[Uitvoeringen werkdagen]]*Ruimtestaat[[#This Row],[Oppervlak (netto)]]</f>
        <v>31000</v>
      </c>
      <c r="W125" s="112">
        <f>IF(U125&gt;0,Ruimtestaat[[#This Row],[Prest. (m2 /jaar) werkdagen]]/Ruimtestaat[[#This Row],[Norm (m2/uur) werkdagen]],0)</f>
        <v>0</v>
      </c>
      <c r="X125" s="113">
        <f>Ruimtestaat[[#This Row],[uren / jaar werkdagen]]*Tariefsopbouw!$E$35</f>
        <v>0</v>
      </c>
      <c r="Y125" s="110"/>
      <c r="Z125" s="114">
        <f>IF(Ruimtestaat[[#This Row],[Frequentie weekend]]&gt;0,VALUE(LEFT(Y125,1))*R125,0)</f>
        <v>0</v>
      </c>
      <c r="AA125" s="110">
        <f>IF($Z125&gt;0,VLOOKUP($J125,Ruimtegroepen[],3,FALSE)*VLOOKUP($L125,Vloersoorten[],3,FALSE)*VLOOKUP($Y125,Frequenties[],3,FALSE)*VLOOKUP($A121,Locaties[],3,FALSE),0)</f>
        <v>0</v>
      </c>
      <c r="AB125" s="112">
        <f>Ruimtestaat[[#This Row],[Uitvoeringen weekend]]*Ruimtestaat[[#This Row],[Oppervlak (netto)]]</f>
        <v>0</v>
      </c>
      <c r="AC125" s="115">
        <f>IF(AB125&gt;0,Ruimtestaat[[#This Row],[Prest. (m2 /jaar) weekend]]/Ruimtestaat[[#This Row],[Norm (m2/uur) weekend]],0)</f>
        <v>0</v>
      </c>
      <c r="AD125" s="116">
        <f>Ruimtestaat[[#This Row],[uren / jaar weekend]]*Tariefsopbouw!$D$40</f>
        <v>0</v>
      </c>
      <c r="AE125" s="82">
        <f>Ruimtestaat[[#This Row],[Prest. (m2 /jaar) weekend]]+Ruimtestaat[[#This Row],[Prest. (m2 /jaar) werkdagen]]</f>
        <v>31000</v>
      </c>
      <c r="AF125" s="82">
        <f>Ruimtestaat[[#This Row],[uren / jaar weekend]]+Ruimtestaat[[#This Row],[uren / jaar werkdagen]]</f>
        <v>0</v>
      </c>
      <c r="AG125" s="83">
        <f>Ruimtestaat[[#This Row],[kosten / jaar weekend]]+Ruimtestaat[[#This Row],[kosten / jaar werkdagen]]</f>
        <v>0</v>
      </c>
      <c r="AH125" s="117"/>
      <c r="HL125" s="87"/>
    </row>
    <row r="126" spans="1:220" ht="15" customHeight="1">
      <c r="A126" s="136">
        <v>1</v>
      </c>
      <c r="B126" s="27" t="str">
        <f>VLOOKUP(Ruimtestaat[[#This Row],[Code]],Locaties[#All],2,FALSE)</f>
        <v>Amstelveen College</v>
      </c>
      <c r="C126" s="27" t="str">
        <f>VLOOKUP(Ruimtestaat[[#This Row],[Code]],Locaties[#All],4,FALSE)</f>
        <v>Sportlaan 27</v>
      </c>
      <c r="D126" s="27" t="str">
        <f>VLOOKUP(Ruimtestaat[[#This Row],[Code]],Locaties[#All],5,FALSE)</f>
        <v>1185 TB</v>
      </c>
      <c r="E126" s="27" t="str">
        <f>VLOOKUP(Ruimtestaat[[#This Row],[Code]],Locaties[#All],6,FALSE)</f>
        <v>Amstelveen</v>
      </c>
      <c r="F126" s="74"/>
      <c r="G126" s="27" t="s">
        <v>272</v>
      </c>
      <c r="H126" s="35">
        <v>1075</v>
      </c>
      <c r="I126" s="24" t="s">
        <v>535</v>
      </c>
      <c r="J126" s="27">
        <v>10</v>
      </c>
      <c r="K126" s="74" t="str">
        <f>VLOOKUP(J126,Ruimtegroepen[],2,FALSE)</f>
        <v>Trappenhuizen/lift</v>
      </c>
      <c r="L126" s="27" t="s">
        <v>115</v>
      </c>
      <c r="M126" s="27" t="s">
        <v>275</v>
      </c>
      <c r="N126" s="107">
        <v>3</v>
      </c>
      <c r="O126" s="107"/>
      <c r="P126" s="118" t="str">
        <f>LEFT(VLOOKUP(Ruimtestaat[[#This Row],[Ruimte code]],Ruimtegroepen[#All],4,1),2)</f>
        <v xml:space="preserve">V </v>
      </c>
      <c r="Q126" s="118"/>
      <c r="R126" s="108">
        <v>40</v>
      </c>
      <c r="S126" s="109" t="s">
        <v>2</v>
      </c>
      <c r="T126" s="110">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6" s="110">
        <f>IF(T126&gt;0,VLOOKUP($J126,Ruimtegroepen[],3,FALSE)*VLOOKUP($L126,Vloersoorten[],3,FALSE)*VLOOKUP($S126,Frequenties[],3,FALSE)*VLOOKUP($A126,Locaties[],3,FALSE),0)</f>
        <v>0</v>
      </c>
      <c r="V126" s="111">
        <f>Ruimtestaat[[#This Row],[Uitvoeringen werkdagen]]*Ruimtestaat[[#This Row],[Oppervlak (netto)]]</f>
        <v>600</v>
      </c>
      <c r="W126" s="112">
        <f>IF(U126&gt;0,Ruimtestaat[[#This Row],[Prest. (m2 /jaar) werkdagen]]/Ruimtestaat[[#This Row],[Norm (m2/uur) werkdagen]],0)</f>
        <v>0</v>
      </c>
      <c r="X126" s="113">
        <f>Ruimtestaat[[#This Row],[uren / jaar werkdagen]]*Tariefsopbouw!$E$35</f>
        <v>0</v>
      </c>
      <c r="Y126" s="110"/>
      <c r="Z126" s="114">
        <f>IF(Ruimtestaat[[#This Row],[Frequentie weekend]]&gt;0,VALUE(LEFT(Y126,1))*R126,0)</f>
        <v>0</v>
      </c>
      <c r="AA126" s="110">
        <f>IF($Z126&gt;0,VLOOKUP($J126,Ruimtegroepen[],3,FALSE)*VLOOKUP($L126,Vloersoorten[],3,FALSE)*VLOOKUP($Y126,Frequenties[],3,FALSE)*VLOOKUP($A122,Locaties[],3,FALSE),0)</f>
        <v>0</v>
      </c>
      <c r="AB126" s="112">
        <f>Ruimtestaat[[#This Row],[Uitvoeringen weekend]]*Ruimtestaat[[#This Row],[Oppervlak (netto)]]</f>
        <v>0</v>
      </c>
      <c r="AC126" s="115">
        <f>IF(AB126&gt;0,Ruimtestaat[[#This Row],[Prest. (m2 /jaar) weekend]]/Ruimtestaat[[#This Row],[Norm (m2/uur) weekend]],0)</f>
        <v>0</v>
      </c>
      <c r="AD126" s="116">
        <f>Ruimtestaat[[#This Row],[uren / jaar weekend]]*Tariefsopbouw!$D$40</f>
        <v>0</v>
      </c>
      <c r="AE126" s="82">
        <f>Ruimtestaat[[#This Row],[Prest. (m2 /jaar) weekend]]+Ruimtestaat[[#This Row],[Prest. (m2 /jaar) werkdagen]]</f>
        <v>600</v>
      </c>
      <c r="AF126" s="82">
        <f>Ruimtestaat[[#This Row],[uren / jaar weekend]]+Ruimtestaat[[#This Row],[uren / jaar werkdagen]]</f>
        <v>0</v>
      </c>
      <c r="AG126" s="83">
        <f>Ruimtestaat[[#This Row],[kosten / jaar weekend]]+Ruimtestaat[[#This Row],[kosten / jaar werkdagen]]</f>
        <v>0</v>
      </c>
      <c r="AH126" s="117"/>
      <c r="HL126" s="87"/>
    </row>
    <row r="127" spans="1:220" ht="15" customHeight="1">
      <c r="A127" s="136">
        <v>1</v>
      </c>
      <c r="B127" s="27" t="str">
        <f>VLOOKUP(Ruimtestaat[[#This Row],[Code]],Locaties[#All],2,FALSE)</f>
        <v>Amstelveen College</v>
      </c>
      <c r="C127" s="27" t="str">
        <f>VLOOKUP(Ruimtestaat[[#This Row],[Code]],Locaties[#All],4,FALSE)</f>
        <v>Sportlaan 27</v>
      </c>
      <c r="D127" s="27" t="str">
        <f>VLOOKUP(Ruimtestaat[[#This Row],[Code]],Locaties[#All],5,FALSE)</f>
        <v>1185 TB</v>
      </c>
      <c r="E127" s="27" t="str">
        <f>VLOOKUP(Ruimtestaat[[#This Row],[Code]],Locaties[#All],6,FALSE)</f>
        <v>Amstelveen</v>
      </c>
      <c r="F127" s="74"/>
      <c r="G127" s="27" t="s">
        <v>272</v>
      </c>
      <c r="H127" s="35">
        <v>1068</v>
      </c>
      <c r="I127" s="24" t="s">
        <v>369</v>
      </c>
      <c r="J127" s="27">
        <v>6</v>
      </c>
      <c r="K127" s="74" t="str">
        <f>VLOOKUP(J127,Ruimtegroepen[],2,FALSE)</f>
        <v>Gangen/hallen</v>
      </c>
      <c r="L127" s="27" t="s">
        <v>114</v>
      </c>
      <c r="M127" s="27" t="s">
        <v>139</v>
      </c>
      <c r="N127" s="107">
        <v>24</v>
      </c>
      <c r="O127" s="107"/>
      <c r="P127" s="118" t="str">
        <f>LEFT(VLOOKUP(Ruimtestaat[[#This Row],[Ruimte code]],Ruimtegroepen[#All],4,1),2)</f>
        <v xml:space="preserve">V </v>
      </c>
      <c r="Q127" s="118"/>
      <c r="R127" s="108">
        <v>42</v>
      </c>
      <c r="S127" s="109" t="s">
        <v>2</v>
      </c>
      <c r="T127" s="110">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27" s="110">
        <f>IF(T127&gt;0,VLOOKUP($J127,Ruimtegroepen[],3,FALSE)*VLOOKUP($L127,Vloersoorten[],3,FALSE)*VLOOKUP($S127,Frequenties[],3,FALSE)*VLOOKUP($A127,Locaties[],3,FALSE),0)</f>
        <v>0</v>
      </c>
      <c r="V127" s="111">
        <f>Ruimtestaat[[#This Row],[Uitvoeringen werkdagen]]*Ruimtestaat[[#This Row],[Oppervlak (netto)]]</f>
        <v>5040</v>
      </c>
      <c r="W127" s="112">
        <f>IF(U127&gt;0,Ruimtestaat[[#This Row],[Prest. (m2 /jaar) werkdagen]]/Ruimtestaat[[#This Row],[Norm (m2/uur) werkdagen]],0)</f>
        <v>0</v>
      </c>
      <c r="X127" s="113">
        <f>Ruimtestaat[[#This Row],[uren / jaar werkdagen]]*Tariefsopbouw!$E$35</f>
        <v>0</v>
      </c>
      <c r="Y127" s="110"/>
      <c r="Z127" s="114">
        <f>IF(Ruimtestaat[[#This Row],[Frequentie weekend]]&gt;0,VALUE(LEFT(Y127,1))*R127,0)</f>
        <v>0</v>
      </c>
      <c r="AA127" s="110">
        <f>IF($Z127&gt;0,VLOOKUP($J127,Ruimtegroepen[],3,FALSE)*VLOOKUP($L127,Vloersoorten[],3,FALSE)*VLOOKUP($Y127,Frequenties[],3,FALSE)*VLOOKUP($A98,Locaties[],3,FALSE),0)</f>
        <v>0</v>
      </c>
      <c r="AB127" s="112">
        <f>Ruimtestaat[[#This Row],[Uitvoeringen weekend]]*Ruimtestaat[[#This Row],[Oppervlak (netto)]]</f>
        <v>0</v>
      </c>
      <c r="AC127" s="115">
        <f>IF(AB127&gt;0,Ruimtestaat[[#This Row],[Prest. (m2 /jaar) weekend]]/Ruimtestaat[[#This Row],[Norm (m2/uur) weekend]],0)</f>
        <v>0</v>
      </c>
      <c r="AD127" s="116">
        <f>Ruimtestaat[[#This Row],[uren / jaar weekend]]*Tariefsopbouw!$D$40</f>
        <v>0</v>
      </c>
      <c r="AE127" s="82">
        <f>Ruimtestaat[[#This Row],[Prest. (m2 /jaar) weekend]]+Ruimtestaat[[#This Row],[Prest. (m2 /jaar) werkdagen]]</f>
        <v>5040</v>
      </c>
      <c r="AF127" s="82">
        <f>Ruimtestaat[[#This Row],[uren / jaar weekend]]+Ruimtestaat[[#This Row],[uren / jaar werkdagen]]</f>
        <v>0</v>
      </c>
      <c r="AG127" s="83">
        <f>Ruimtestaat[[#This Row],[kosten / jaar weekend]]+Ruimtestaat[[#This Row],[kosten / jaar werkdagen]]</f>
        <v>0</v>
      </c>
      <c r="AH127" s="117"/>
      <c r="HL127" s="87"/>
    </row>
    <row r="128" spans="1:220" ht="15" customHeight="1">
      <c r="A128" s="136">
        <v>1</v>
      </c>
      <c r="B128" s="27" t="str">
        <f>VLOOKUP(Ruimtestaat[[#This Row],[Code]],Locaties[#All],2,FALSE)</f>
        <v>Amstelveen College</v>
      </c>
      <c r="C128" s="27" t="str">
        <f>VLOOKUP(Ruimtestaat[[#This Row],[Code]],Locaties[#All],4,FALSE)</f>
        <v>Sportlaan 27</v>
      </c>
      <c r="D128" s="27" t="str">
        <f>VLOOKUP(Ruimtestaat[[#This Row],[Code]],Locaties[#All],5,FALSE)</f>
        <v>1185 TB</v>
      </c>
      <c r="E128" s="27" t="str">
        <f>VLOOKUP(Ruimtestaat[[#This Row],[Code]],Locaties[#All],6,FALSE)</f>
        <v>Amstelveen</v>
      </c>
      <c r="F128" s="74"/>
      <c r="G128" s="27" t="s">
        <v>272</v>
      </c>
      <c r="H128" s="35">
        <v>1070</v>
      </c>
      <c r="I128" s="24" t="s">
        <v>370</v>
      </c>
      <c r="J128" s="27">
        <v>20</v>
      </c>
      <c r="K128" s="74" t="str">
        <f>VLOOKUP(J128,Ruimtegroepen[],2,FALSE)</f>
        <v>Niet in onderhoud</v>
      </c>
      <c r="M128" s="27"/>
      <c r="N128" s="107"/>
      <c r="O128" s="107">
        <v>8</v>
      </c>
      <c r="P128" s="118" t="str">
        <f>LEFT(VLOOKUP(Ruimtestaat[[#This Row],[Ruimte code]],Ruimtegroepen[#All],4,1),2)</f>
        <v/>
      </c>
      <c r="Q128" s="118"/>
      <c r="R128" s="108"/>
      <c r="S128" s="109"/>
      <c r="T128" s="110">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8" s="110">
        <f>IF(T128&gt;0,VLOOKUP($J128,Ruimtegroepen[],3,FALSE)*VLOOKUP($L128,Vloersoorten[],3,FALSE)*VLOOKUP($S128,Frequenties[],3,FALSE)*VLOOKUP($A128,Locaties[],3,FALSE),0)</f>
        <v>0</v>
      </c>
      <c r="V128" s="111">
        <f>Ruimtestaat[[#This Row],[Uitvoeringen werkdagen]]*Ruimtestaat[[#This Row],[Oppervlak (netto)]]</f>
        <v>0</v>
      </c>
      <c r="W128" s="112">
        <f>IF(U128&gt;0,Ruimtestaat[[#This Row],[Prest. (m2 /jaar) werkdagen]]/Ruimtestaat[[#This Row],[Norm (m2/uur) werkdagen]],0)</f>
        <v>0</v>
      </c>
      <c r="X128" s="113">
        <f>Ruimtestaat[[#This Row],[uren / jaar werkdagen]]*Tariefsopbouw!$E$35</f>
        <v>0</v>
      </c>
      <c r="Y128" s="110"/>
      <c r="Z128" s="114">
        <f>IF(Ruimtestaat[[#This Row],[Frequentie weekend]]&gt;0,VALUE(LEFT(Y128,1))*R128,0)</f>
        <v>0</v>
      </c>
      <c r="AA128" s="110">
        <f>IF($Z128&gt;0,VLOOKUP($J128,Ruimtegroepen[],3,FALSE)*VLOOKUP($L128,Vloersoorten[],3,FALSE)*VLOOKUP($Y128,Frequenties[],3,FALSE)*VLOOKUP($A99,Locaties[],3,FALSE),0)</f>
        <v>0</v>
      </c>
      <c r="AB128" s="112">
        <f>Ruimtestaat[[#This Row],[Uitvoeringen weekend]]*Ruimtestaat[[#This Row],[Oppervlak (netto)]]</f>
        <v>0</v>
      </c>
      <c r="AC128" s="115">
        <f>IF(AB128&gt;0,Ruimtestaat[[#This Row],[Prest. (m2 /jaar) weekend]]/Ruimtestaat[[#This Row],[Norm (m2/uur) weekend]],0)</f>
        <v>0</v>
      </c>
      <c r="AD128" s="116">
        <f>Ruimtestaat[[#This Row],[uren / jaar weekend]]*Tariefsopbouw!$D$40</f>
        <v>0</v>
      </c>
      <c r="AE128" s="82">
        <f>Ruimtestaat[[#This Row],[Prest. (m2 /jaar) weekend]]+Ruimtestaat[[#This Row],[Prest. (m2 /jaar) werkdagen]]</f>
        <v>0</v>
      </c>
      <c r="AF128" s="82">
        <f>Ruimtestaat[[#This Row],[uren / jaar weekend]]+Ruimtestaat[[#This Row],[uren / jaar werkdagen]]</f>
        <v>0</v>
      </c>
      <c r="AG128" s="83">
        <f>Ruimtestaat[[#This Row],[kosten / jaar weekend]]+Ruimtestaat[[#This Row],[kosten / jaar werkdagen]]</f>
        <v>0</v>
      </c>
      <c r="AH128" s="117"/>
      <c r="HL128" s="87"/>
    </row>
    <row r="129" spans="1:220" ht="15" customHeight="1">
      <c r="A129" s="136">
        <v>1</v>
      </c>
      <c r="B129" s="27" t="str">
        <f>VLOOKUP(Ruimtestaat[[#This Row],[Code]],Locaties[#All],2,FALSE)</f>
        <v>Amstelveen College</v>
      </c>
      <c r="C129" s="27" t="str">
        <f>VLOOKUP(Ruimtestaat[[#This Row],[Code]],Locaties[#All],4,FALSE)</f>
        <v>Sportlaan 27</v>
      </c>
      <c r="D129" s="27" t="str">
        <f>VLOOKUP(Ruimtestaat[[#This Row],[Code]],Locaties[#All],5,FALSE)</f>
        <v>1185 TB</v>
      </c>
      <c r="E129" s="27" t="str">
        <f>VLOOKUP(Ruimtestaat[[#This Row],[Code]],Locaties[#All],6,FALSE)</f>
        <v>Amstelveen</v>
      </c>
      <c r="F129" s="74"/>
      <c r="G129" s="27" t="s">
        <v>272</v>
      </c>
      <c r="H129" s="35" t="s">
        <v>537</v>
      </c>
      <c r="I129" s="24" t="s">
        <v>464</v>
      </c>
      <c r="J129" s="27">
        <v>5</v>
      </c>
      <c r="K129" s="74" t="str">
        <f>VLOOKUP(J129,Ruimtegroepen[],2,FALSE)</f>
        <v>Sanitair</v>
      </c>
      <c r="L129" s="27" t="s">
        <v>115</v>
      </c>
      <c r="M129" s="27" t="s">
        <v>271</v>
      </c>
      <c r="N129" s="107">
        <v>5</v>
      </c>
      <c r="O129" s="107"/>
      <c r="P129" s="118" t="str">
        <f>LEFT(VLOOKUP(Ruimtestaat[[#This Row],[Ruimte code]],Ruimtegroepen[#All],4,1),2)</f>
        <v xml:space="preserve">S </v>
      </c>
      <c r="Q129" s="118"/>
      <c r="R129" s="108">
        <v>42</v>
      </c>
      <c r="S129" s="109" t="s">
        <v>19</v>
      </c>
      <c r="T129" s="110">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29" s="110">
        <f>IF(T129&gt;0,VLOOKUP($J129,Ruimtegroepen[],3,FALSE)*VLOOKUP($L129,Vloersoorten[],3,FALSE)*VLOOKUP($S129,Frequenties[],3,FALSE)*VLOOKUP($A129,Locaties[],3,FALSE),0)</f>
        <v>0</v>
      </c>
      <c r="V129" s="111">
        <f>Ruimtestaat[[#This Row],[Uitvoeringen werkdagen]]*Ruimtestaat[[#This Row],[Oppervlak (netto)]]</f>
        <v>2100</v>
      </c>
      <c r="W129" s="112">
        <f>IF(U129&gt;0,Ruimtestaat[[#This Row],[Prest. (m2 /jaar) werkdagen]]/Ruimtestaat[[#This Row],[Norm (m2/uur) werkdagen]],0)</f>
        <v>0</v>
      </c>
      <c r="X129" s="113">
        <f>Ruimtestaat[[#This Row],[uren / jaar werkdagen]]*Tariefsopbouw!$E$35</f>
        <v>0</v>
      </c>
      <c r="Y129" s="110"/>
      <c r="Z129" s="114">
        <f>IF(Ruimtestaat[[#This Row],[Frequentie weekend]]&gt;0,VALUE(LEFT(Y129,1))*R129,0)</f>
        <v>0</v>
      </c>
      <c r="AA129" s="110">
        <f>IF($Z129&gt;0,VLOOKUP($J129,Ruimtegroepen[],3,FALSE)*VLOOKUP($L129,Vloersoorten[],3,FALSE)*VLOOKUP($Y129,Frequenties[],3,FALSE)*VLOOKUP($A100,Locaties[],3,FALSE),0)</f>
        <v>0</v>
      </c>
      <c r="AB129" s="112">
        <f>Ruimtestaat[[#This Row],[Uitvoeringen weekend]]*Ruimtestaat[[#This Row],[Oppervlak (netto)]]</f>
        <v>0</v>
      </c>
      <c r="AC129" s="115">
        <f>IF(AB129&gt;0,Ruimtestaat[[#This Row],[Prest. (m2 /jaar) weekend]]/Ruimtestaat[[#This Row],[Norm (m2/uur) weekend]],0)</f>
        <v>0</v>
      </c>
      <c r="AD129" s="116">
        <f>Ruimtestaat[[#This Row],[uren / jaar weekend]]*Tariefsopbouw!$D$40</f>
        <v>0</v>
      </c>
      <c r="AE129" s="82">
        <f>Ruimtestaat[[#This Row],[Prest. (m2 /jaar) weekend]]+Ruimtestaat[[#This Row],[Prest. (m2 /jaar) werkdagen]]</f>
        <v>2100</v>
      </c>
      <c r="AF129" s="82">
        <f>Ruimtestaat[[#This Row],[uren / jaar weekend]]+Ruimtestaat[[#This Row],[uren / jaar werkdagen]]</f>
        <v>0</v>
      </c>
      <c r="AG129" s="83">
        <f>Ruimtestaat[[#This Row],[kosten / jaar weekend]]+Ruimtestaat[[#This Row],[kosten / jaar werkdagen]]</f>
        <v>0</v>
      </c>
      <c r="AH129" s="117"/>
      <c r="HL129" s="87"/>
    </row>
    <row r="130" spans="1:220" ht="15" customHeight="1">
      <c r="A130" s="136">
        <v>1</v>
      </c>
      <c r="B130" s="27" t="str">
        <f>VLOOKUP(Ruimtestaat[[#This Row],[Code]],Locaties[#All],2,FALSE)</f>
        <v>Amstelveen College</v>
      </c>
      <c r="C130" s="27" t="str">
        <f>VLOOKUP(Ruimtestaat[[#This Row],[Code]],Locaties[#All],4,FALSE)</f>
        <v>Sportlaan 27</v>
      </c>
      <c r="D130" s="27" t="str">
        <f>VLOOKUP(Ruimtestaat[[#This Row],[Code]],Locaties[#All],5,FALSE)</f>
        <v>1185 TB</v>
      </c>
      <c r="E130" s="27" t="str">
        <f>VLOOKUP(Ruimtestaat[[#This Row],[Code]],Locaties[#All],6,FALSE)</f>
        <v>Amstelveen</v>
      </c>
      <c r="F130" s="74"/>
      <c r="G130" s="27" t="s">
        <v>272</v>
      </c>
      <c r="H130" s="35">
        <v>1036</v>
      </c>
      <c r="I130" s="24" t="s">
        <v>465</v>
      </c>
      <c r="J130" s="27">
        <v>5</v>
      </c>
      <c r="K130" s="74" t="str">
        <f>VLOOKUP(J130,Ruimtegroepen[],2,FALSE)</f>
        <v>Sanitair</v>
      </c>
      <c r="L130" s="27" t="s">
        <v>115</v>
      </c>
      <c r="M130" s="27" t="s">
        <v>271</v>
      </c>
      <c r="N130" s="107">
        <v>7</v>
      </c>
      <c r="O130" s="107"/>
      <c r="P130" s="118" t="str">
        <f>LEFT(VLOOKUP(Ruimtestaat[[#This Row],[Ruimte code]],Ruimtegroepen[#All],4,1),2)</f>
        <v xml:space="preserve">S </v>
      </c>
      <c r="Q130" s="118"/>
      <c r="R130" s="108">
        <v>42</v>
      </c>
      <c r="S130" s="109" t="s">
        <v>19</v>
      </c>
      <c r="T130" s="110">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30" s="110">
        <f>IF(T130&gt;0,VLOOKUP($J130,Ruimtegroepen[],3,FALSE)*VLOOKUP($L130,Vloersoorten[],3,FALSE)*VLOOKUP($S130,Frequenties[],3,FALSE)*VLOOKUP($A130,Locaties[],3,FALSE),0)</f>
        <v>0</v>
      </c>
      <c r="V130" s="111">
        <f>Ruimtestaat[[#This Row],[Uitvoeringen werkdagen]]*Ruimtestaat[[#This Row],[Oppervlak (netto)]]</f>
        <v>2940</v>
      </c>
      <c r="W130" s="112">
        <f>IF(U130&gt;0,Ruimtestaat[[#This Row],[Prest. (m2 /jaar) werkdagen]]/Ruimtestaat[[#This Row],[Norm (m2/uur) werkdagen]],0)</f>
        <v>0</v>
      </c>
      <c r="X130" s="113">
        <f>Ruimtestaat[[#This Row],[uren / jaar werkdagen]]*Tariefsopbouw!$E$35</f>
        <v>0</v>
      </c>
      <c r="Y130" s="110"/>
      <c r="Z130" s="114">
        <f>IF(Ruimtestaat[[#This Row],[Frequentie weekend]]&gt;0,VALUE(LEFT(Y130,1))*R130,0)</f>
        <v>0</v>
      </c>
      <c r="AA130" s="110">
        <f>IF($Z130&gt;0,VLOOKUP($J130,Ruimtegroepen[],3,FALSE)*VLOOKUP($L130,Vloersoorten[],3,FALSE)*VLOOKUP($Y130,Frequenties[],3,FALSE)*VLOOKUP($A101,Locaties[],3,FALSE),0)</f>
        <v>0</v>
      </c>
      <c r="AB130" s="112">
        <f>Ruimtestaat[[#This Row],[Uitvoeringen weekend]]*Ruimtestaat[[#This Row],[Oppervlak (netto)]]</f>
        <v>0</v>
      </c>
      <c r="AC130" s="115">
        <f>IF(AB130&gt;0,Ruimtestaat[[#This Row],[Prest. (m2 /jaar) weekend]]/Ruimtestaat[[#This Row],[Norm (m2/uur) weekend]],0)</f>
        <v>0</v>
      </c>
      <c r="AD130" s="116">
        <f>Ruimtestaat[[#This Row],[uren / jaar weekend]]*Tariefsopbouw!$D$40</f>
        <v>0</v>
      </c>
      <c r="AE130" s="82">
        <f>Ruimtestaat[[#This Row],[Prest. (m2 /jaar) weekend]]+Ruimtestaat[[#This Row],[Prest. (m2 /jaar) werkdagen]]</f>
        <v>2940</v>
      </c>
      <c r="AF130" s="82">
        <f>Ruimtestaat[[#This Row],[uren / jaar weekend]]+Ruimtestaat[[#This Row],[uren / jaar werkdagen]]</f>
        <v>0</v>
      </c>
      <c r="AG130" s="83">
        <f>Ruimtestaat[[#This Row],[kosten / jaar weekend]]+Ruimtestaat[[#This Row],[kosten / jaar werkdagen]]</f>
        <v>0</v>
      </c>
      <c r="AH130" s="117"/>
      <c r="HL130" s="87"/>
    </row>
    <row r="131" spans="1:220" ht="15" customHeight="1">
      <c r="A131" s="136">
        <v>1</v>
      </c>
      <c r="B131" s="27" t="str">
        <f>VLOOKUP(Ruimtestaat[[#This Row],[Code]],Locaties[#All],2,FALSE)</f>
        <v>Amstelveen College</v>
      </c>
      <c r="C131" s="27" t="str">
        <f>VLOOKUP(Ruimtestaat[[#This Row],[Code]],Locaties[#All],4,FALSE)</f>
        <v>Sportlaan 27</v>
      </c>
      <c r="D131" s="27" t="str">
        <f>VLOOKUP(Ruimtestaat[[#This Row],[Code]],Locaties[#All],5,FALSE)</f>
        <v>1185 TB</v>
      </c>
      <c r="E131" s="27" t="str">
        <f>VLOOKUP(Ruimtestaat[[#This Row],[Code]],Locaties[#All],6,FALSE)</f>
        <v>Amstelveen</v>
      </c>
      <c r="F131" s="74"/>
      <c r="G131" s="27" t="s">
        <v>272</v>
      </c>
      <c r="H131" s="35" t="s">
        <v>538</v>
      </c>
      <c r="I131" s="24" t="s">
        <v>375</v>
      </c>
      <c r="J131" s="27">
        <v>2</v>
      </c>
      <c r="K131" s="74" t="str">
        <f>VLOOKUP(J131,Ruimtegroepen[],2,FALSE)</f>
        <v>Kantoren</v>
      </c>
      <c r="L131" s="27" t="s">
        <v>113</v>
      </c>
      <c r="M131" s="27" t="s">
        <v>39</v>
      </c>
      <c r="N131" s="107">
        <v>21</v>
      </c>
      <c r="O131" s="107"/>
      <c r="P131" s="118" t="str">
        <f>LEFT(VLOOKUP(Ruimtestaat[[#This Row],[Ruimte code]],Ruimtegroepen[#All],4,1),2)</f>
        <v xml:space="preserve">B </v>
      </c>
      <c r="Q131" s="118"/>
      <c r="R131" s="108">
        <v>42</v>
      </c>
      <c r="S131" s="109" t="s">
        <v>15</v>
      </c>
      <c r="T131" s="110">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31" s="110">
        <f>IF(T131&gt;0,VLOOKUP($J131,Ruimtegroepen[],3,FALSE)*VLOOKUP($L131,Vloersoorten[],3,FALSE)*VLOOKUP($S131,Frequenties[],3,FALSE)*VLOOKUP($A131,Locaties[],3,FALSE),0)</f>
        <v>0</v>
      </c>
      <c r="V131" s="111">
        <f>Ruimtestaat[[#This Row],[Uitvoeringen werkdagen]]*Ruimtestaat[[#This Row],[Oppervlak (netto)]]</f>
        <v>882</v>
      </c>
      <c r="W131" s="112">
        <f>IF(U131&gt;0,Ruimtestaat[[#This Row],[Prest. (m2 /jaar) werkdagen]]/Ruimtestaat[[#This Row],[Norm (m2/uur) werkdagen]],0)</f>
        <v>0</v>
      </c>
      <c r="X131" s="113">
        <f>Ruimtestaat[[#This Row],[uren / jaar werkdagen]]*Tariefsopbouw!$E$35</f>
        <v>0</v>
      </c>
      <c r="Y131" s="110"/>
      <c r="Z131" s="114">
        <f>IF(Ruimtestaat[[#This Row],[Frequentie weekend]]&gt;0,VALUE(LEFT(Y131,1))*R131,0)</f>
        <v>0</v>
      </c>
      <c r="AA131" s="110">
        <f>IF($Z131&gt;0,VLOOKUP($J131,Ruimtegroepen[],3,FALSE)*VLOOKUP($L131,Vloersoorten[],3,FALSE)*VLOOKUP($Y131,Frequenties[],3,FALSE)*VLOOKUP($A102,Locaties[],3,FALSE),0)</f>
        <v>0</v>
      </c>
      <c r="AB131" s="112">
        <f>Ruimtestaat[[#This Row],[Uitvoeringen weekend]]*Ruimtestaat[[#This Row],[Oppervlak (netto)]]</f>
        <v>0</v>
      </c>
      <c r="AC131" s="115">
        <f>IF(AB131&gt;0,Ruimtestaat[[#This Row],[Prest. (m2 /jaar) weekend]]/Ruimtestaat[[#This Row],[Norm (m2/uur) weekend]],0)</f>
        <v>0</v>
      </c>
      <c r="AD131" s="116">
        <f>Ruimtestaat[[#This Row],[uren / jaar weekend]]*Tariefsopbouw!$D$40</f>
        <v>0</v>
      </c>
      <c r="AE131" s="82">
        <f>Ruimtestaat[[#This Row],[Prest. (m2 /jaar) weekend]]+Ruimtestaat[[#This Row],[Prest. (m2 /jaar) werkdagen]]</f>
        <v>882</v>
      </c>
      <c r="AF131" s="82">
        <f>Ruimtestaat[[#This Row],[uren / jaar weekend]]+Ruimtestaat[[#This Row],[uren / jaar werkdagen]]</f>
        <v>0</v>
      </c>
      <c r="AG131" s="83">
        <f>Ruimtestaat[[#This Row],[kosten / jaar weekend]]+Ruimtestaat[[#This Row],[kosten / jaar werkdagen]]</f>
        <v>0</v>
      </c>
      <c r="AH131" s="117"/>
      <c r="HL131" s="87"/>
    </row>
    <row r="132" spans="1:220" ht="15" customHeight="1">
      <c r="A132" s="136">
        <v>1</v>
      </c>
      <c r="B132" s="27" t="str">
        <f>VLOOKUP(Ruimtestaat[[#This Row],[Code]],Locaties[#All],2,FALSE)</f>
        <v>Amstelveen College</v>
      </c>
      <c r="C132" s="27" t="str">
        <f>VLOOKUP(Ruimtestaat[[#This Row],[Code]],Locaties[#All],4,FALSE)</f>
        <v>Sportlaan 27</v>
      </c>
      <c r="D132" s="27" t="str">
        <f>VLOOKUP(Ruimtestaat[[#This Row],[Code]],Locaties[#All],5,FALSE)</f>
        <v>1185 TB</v>
      </c>
      <c r="E132" s="27" t="str">
        <f>VLOOKUP(Ruimtestaat[[#This Row],[Code]],Locaties[#All],6,FALSE)</f>
        <v>Amstelveen</v>
      </c>
      <c r="F132" s="74"/>
      <c r="G132" s="27" t="s">
        <v>272</v>
      </c>
      <c r="H132" s="35" t="s">
        <v>539</v>
      </c>
      <c r="I132" s="24" t="s">
        <v>375</v>
      </c>
      <c r="J132" s="27">
        <v>2</v>
      </c>
      <c r="K132" s="74" t="str">
        <f>VLOOKUP(J132,Ruimtegroepen[],2,FALSE)</f>
        <v>Kantoren</v>
      </c>
      <c r="L132" s="27" t="s">
        <v>113</v>
      </c>
      <c r="M132" s="27" t="s">
        <v>39</v>
      </c>
      <c r="N132" s="107">
        <v>22</v>
      </c>
      <c r="O132" s="107"/>
      <c r="P132" s="118" t="str">
        <f>LEFT(VLOOKUP(Ruimtestaat[[#This Row],[Ruimte code]],Ruimtegroepen[#All],4,1),2)</f>
        <v xml:space="preserve">B </v>
      </c>
      <c r="Q132" s="118"/>
      <c r="R132" s="108">
        <v>42</v>
      </c>
      <c r="S132" s="109" t="s">
        <v>15</v>
      </c>
      <c r="T132" s="110">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32" s="110">
        <f>IF(T132&gt;0,VLOOKUP($J132,Ruimtegroepen[],3,FALSE)*VLOOKUP($L132,Vloersoorten[],3,FALSE)*VLOOKUP($S132,Frequenties[],3,FALSE)*VLOOKUP($A132,Locaties[],3,FALSE),0)</f>
        <v>0</v>
      </c>
      <c r="V132" s="111">
        <f>Ruimtestaat[[#This Row],[Uitvoeringen werkdagen]]*Ruimtestaat[[#This Row],[Oppervlak (netto)]]</f>
        <v>924</v>
      </c>
      <c r="W132" s="112">
        <f>IF(U132&gt;0,Ruimtestaat[[#This Row],[Prest. (m2 /jaar) werkdagen]]/Ruimtestaat[[#This Row],[Norm (m2/uur) werkdagen]],0)</f>
        <v>0</v>
      </c>
      <c r="X132" s="113">
        <f>Ruimtestaat[[#This Row],[uren / jaar werkdagen]]*Tariefsopbouw!$E$35</f>
        <v>0</v>
      </c>
      <c r="Y132" s="110"/>
      <c r="Z132" s="114">
        <f>IF(Ruimtestaat[[#This Row],[Frequentie weekend]]&gt;0,VALUE(LEFT(Y132,1))*R132,0)</f>
        <v>0</v>
      </c>
      <c r="AA132" s="110">
        <f>IF($Z132&gt;0,VLOOKUP($J132,Ruimtegroepen[],3,FALSE)*VLOOKUP($L132,Vloersoorten[],3,FALSE)*VLOOKUP($Y132,Frequenties[],3,FALSE)*VLOOKUP($A103,Locaties[],3,FALSE),0)</f>
        <v>0</v>
      </c>
      <c r="AB132" s="112">
        <f>Ruimtestaat[[#This Row],[Uitvoeringen weekend]]*Ruimtestaat[[#This Row],[Oppervlak (netto)]]</f>
        <v>0</v>
      </c>
      <c r="AC132" s="115">
        <f>IF(AB132&gt;0,Ruimtestaat[[#This Row],[Prest. (m2 /jaar) weekend]]/Ruimtestaat[[#This Row],[Norm (m2/uur) weekend]],0)</f>
        <v>0</v>
      </c>
      <c r="AD132" s="116">
        <f>Ruimtestaat[[#This Row],[uren / jaar weekend]]*Tariefsopbouw!$D$40</f>
        <v>0</v>
      </c>
      <c r="AE132" s="82">
        <f>Ruimtestaat[[#This Row],[Prest. (m2 /jaar) weekend]]+Ruimtestaat[[#This Row],[Prest. (m2 /jaar) werkdagen]]</f>
        <v>924</v>
      </c>
      <c r="AF132" s="82">
        <f>Ruimtestaat[[#This Row],[uren / jaar weekend]]+Ruimtestaat[[#This Row],[uren / jaar werkdagen]]</f>
        <v>0</v>
      </c>
      <c r="AG132" s="83">
        <f>Ruimtestaat[[#This Row],[kosten / jaar weekend]]+Ruimtestaat[[#This Row],[kosten / jaar werkdagen]]</f>
        <v>0</v>
      </c>
      <c r="AH132" s="117"/>
      <c r="HL132" s="87"/>
    </row>
    <row r="133" spans="1:220" ht="15" customHeight="1">
      <c r="A133" s="136">
        <v>1</v>
      </c>
      <c r="B133" s="27" t="str">
        <f>VLOOKUP(Ruimtestaat[[#This Row],[Code]],Locaties[#All],2,FALSE)</f>
        <v>Amstelveen College</v>
      </c>
      <c r="C133" s="27" t="str">
        <f>VLOOKUP(Ruimtestaat[[#This Row],[Code]],Locaties[#All],4,FALSE)</f>
        <v>Sportlaan 27</v>
      </c>
      <c r="D133" s="27" t="str">
        <f>VLOOKUP(Ruimtestaat[[#This Row],[Code]],Locaties[#All],5,FALSE)</f>
        <v>1185 TB</v>
      </c>
      <c r="E133" s="27" t="str">
        <f>VLOOKUP(Ruimtestaat[[#This Row],[Code]],Locaties[#All],6,FALSE)</f>
        <v>Amstelveen</v>
      </c>
      <c r="F133" s="74"/>
      <c r="G133" s="27" t="s">
        <v>272</v>
      </c>
      <c r="H133" s="35">
        <v>1065</v>
      </c>
      <c r="I133" s="24" t="s">
        <v>540</v>
      </c>
      <c r="J133" s="27">
        <v>16</v>
      </c>
      <c r="K133" s="74" t="str">
        <f>VLOOKUP(J133,Ruimtegroepen[],2,FALSE)</f>
        <v>Leslokalen theorie</v>
      </c>
      <c r="L133" s="27" t="s">
        <v>114</v>
      </c>
      <c r="M133" s="27" t="s">
        <v>139</v>
      </c>
      <c r="N133" s="107">
        <v>19</v>
      </c>
      <c r="O133" s="107"/>
      <c r="P133" s="118" t="str">
        <f>LEFT(VLOOKUP(Ruimtestaat[[#This Row],[Ruimte code]],Ruimtegroepen[#All],4,1),2)</f>
        <v xml:space="preserve">L </v>
      </c>
      <c r="Q133" s="118"/>
      <c r="R133" s="108">
        <v>40</v>
      </c>
      <c r="S133" s="109" t="s">
        <v>18</v>
      </c>
      <c r="T133" s="110">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3" s="110">
        <f>IF(T133&gt;0,VLOOKUP($J133,Ruimtegroepen[],3,FALSE)*VLOOKUP($L133,Vloersoorten[],3,FALSE)*VLOOKUP($S133,Frequenties[],3,FALSE)*VLOOKUP($A133,Locaties[],3,FALSE),0)</f>
        <v>0</v>
      </c>
      <c r="V133" s="111">
        <f>Ruimtestaat[[#This Row],[Uitvoeringen werkdagen]]*Ruimtestaat[[#This Row],[Oppervlak (netto)]]</f>
        <v>2280</v>
      </c>
      <c r="W133" s="112">
        <f>IF(U133&gt;0,Ruimtestaat[[#This Row],[Prest. (m2 /jaar) werkdagen]]/Ruimtestaat[[#This Row],[Norm (m2/uur) werkdagen]],0)</f>
        <v>0</v>
      </c>
      <c r="X133" s="113">
        <f>Ruimtestaat[[#This Row],[uren / jaar werkdagen]]*Tariefsopbouw!$E$35</f>
        <v>0</v>
      </c>
      <c r="Y133" s="110"/>
      <c r="Z133" s="114">
        <f>IF(Ruimtestaat[[#This Row],[Frequentie weekend]]&gt;0,VALUE(LEFT(Y133,1))*R133,0)</f>
        <v>0</v>
      </c>
      <c r="AA133" s="110">
        <f>IF($Z133&gt;0,VLOOKUP($J133,Ruimtegroepen[],3,FALSE)*VLOOKUP($L133,Vloersoorten[],3,FALSE)*VLOOKUP($Y133,Frequenties[],3,FALSE)*VLOOKUP($A104,Locaties[],3,FALSE),0)</f>
        <v>0</v>
      </c>
      <c r="AB133" s="112">
        <f>Ruimtestaat[[#This Row],[Uitvoeringen weekend]]*Ruimtestaat[[#This Row],[Oppervlak (netto)]]</f>
        <v>0</v>
      </c>
      <c r="AC133" s="115">
        <f>IF(AB133&gt;0,Ruimtestaat[[#This Row],[Prest. (m2 /jaar) weekend]]/Ruimtestaat[[#This Row],[Norm (m2/uur) weekend]],0)</f>
        <v>0</v>
      </c>
      <c r="AD133" s="116">
        <f>Ruimtestaat[[#This Row],[uren / jaar weekend]]*Tariefsopbouw!$D$40</f>
        <v>0</v>
      </c>
      <c r="AE133" s="82">
        <f>Ruimtestaat[[#This Row],[Prest. (m2 /jaar) weekend]]+Ruimtestaat[[#This Row],[Prest. (m2 /jaar) werkdagen]]</f>
        <v>2280</v>
      </c>
      <c r="AF133" s="82">
        <f>Ruimtestaat[[#This Row],[uren / jaar weekend]]+Ruimtestaat[[#This Row],[uren / jaar werkdagen]]</f>
        <v>0</v>
      </c>
      <c r="AG133" s="83">
        <f>Ruimtestaat[[#This Row],[kosten / jaar weekend]]+Ruimtestaat[[#This Row],[kosten / jaar werkdagen]]</f>
        <v>0</v>
      </c>
      <c r="AH133" s="117"/>
      <c r="HL133" s="87"/>
    </row>
    <row r="134" spans="1:220" ht="15" customHeight="1">
      <c r="A134" s="136">
        <v>1</v>
      </c>
      <c r="B134" s="27" t="str">
        <f>VLOOKUP(Ruimtestaat[[#This Row],[Code]],Locaties[#All],2,FALSE)</f>
        <v>Amstelveen College</v>
      </c>
      <c r="C134" s="27" t="str">
        <f>VLOOKUP(Ruimtestaat[[#This Row],[Code]],Locaties[#All],4,FALSE)</f>
        <v>Sportlaan 27</v>
      </c>
      <c r="D134" s="27" t="str">
        <f>VLOOKUP(Ruimtestaat[[#This Row],[Code]],Locaties[#All],5,FALSE)</f>
        <v>1185 TB</v>
      </c>
      <c r="E134" s="27" t="str">
        <f>VLOOKUP(Ruimtestaat[[#This Row],[Code]],Locaties[#All],6,FALSE)</f>
        <v>Amstelveen</v>
      </c>
      <c r="F134" s="74"/>
      <c r="G134" s="27" t="s">
        <v>272</v>
      </c>
      <c r="H134" s="35">
        <v>1037</v>
      </c>
      <c r="I134" s="24" t="s">
        <v>369</v>
      </c>
      <c r="J134" s="27">
        <v>6</v>
      </c>
      <c r="K134" s="74" t="str">
        <f>VLOOKUP(J134,Ruimtegroepen[],2,FALSE)</f>
        <v>Gangen/hallen</v>
      </c>
      <c r="L134" s="27" t="s">
        <v>114</v>
      </c>
      <c r="M134" s="27" t="s">
        <v>139</v>
      </c>
      <c r="N134" s="107">
        <v>19</v>
      </c>
      <c r="O134" s="107"/>
      <c r="P134" s="118" t="str">
        <f>LEFT(VLOOKUP(Ruimtestaat[[#This Row],[Ruimte code]],Ruimtegroepen[#All],4,1),2)</f>
        <v xml:space="preserve">V </v>
      </c>
      <c r="Q134" s="118"/>
      <c r="R134" s="108">
        <v>42</v>
      </c>
      <c r="S134" s="109" t="s">
        <v>2</v>
      </c>
      <c r="T134" s="110">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34" s="110">
        <f>IF(T134&gt;0,VLOOKUP($J134,Ruimtegroepen[],3,FALSE)*VLOOKUP($L134,Vloersoorten[],3,FALSE)*VLOOKUP($S134,Frequenties[],3,FALSE)*VLOOKUP($A134,Locaties[],3,FALSE),0)</f>
        <v>0</v>
      </c>
      <c r="V134" s="111">
        <f>Ruimtestaat[[#This Row],[Uitvoeringen werkdagen]]*Ruimtestaat[[#This Row],[Oppervlak (netto)]]</f>
        <v>3990</v>
      </c>
      <c r="W134" s="112">
        <f>IF(U134&gt;0,Ruimtestaat[[#This Row],[Prest. (m2 /jaar) werkdagen]]/Ruimtestaat[[#This Row],[Norm (m2/uur) werkdagen]],0)</f>
        <v>0</v>
      </c>
      <c r="X134" s="113">
        <f>Ruimtestaat[[#This Row],[uren / jaar werkdagen]]*Tariefsopbouw!$E$35</f>
        <v>0</v>
      </c>
      <c r="Y134" s="110"/>
      <c r="Z134" s="114">
        <f>IF(Ruimtestaat[[#This Row],[Frequentie weekend]]&gt;0,VALUE(LEFT(Y134,1))*R134,0)</f>
        <v>0</v>
      </c>
      <c r="AA134" s="110">
        <f>IF($Z134&gt;0,VLOOKUP($J134,Ruimtegroepen[],3,FALSE)*VLOOKUP($L134,Vloersoorten[],3,FALSE)*VLOOKUP($Y134,Frequenties[],3,FALSE)*VLOOKUP($A105,Locaties[],3,FALSE),0)</f>
        <v>0</v>
      </c>
      <c r="AB134" s="112">
        <f>Ruimtestaat[[#This Row],[Uitvoeringen weekend]]*Ruimtestaat[[#This Row],[Oppervlak (netto)]]</f>
        <v>0</v>
      </c>
      <c r="AC134" s="115">
        <f>IF(AB134&gt;0,Ruimtestaat[[#This Row],[Prest. (m2 /jaar) weekend]]/Ruimtestaat[[#This Row],[Norm (m2/uur) weekend]],0)</f>
        <v>0</v>
      </c>
      <c r="AD134" s="116">
        <f>Ruimtestaat[[#This Row],[uren / jaar weekend]]*Tariefsopbouw!$D$40</f>
        <v>0</v>
      </c>
      <c r="AE134" s="82">
        <f>Ruimtestaat[[#This Row],[Prest. (m2 /jaar) weekend]]+Ruimtestaat[[#This Row],[Prest. (m2 /jaar) werkdagen]]</f>
        <v>3990</v>
      </c>
      <c r="AF134" s="82">
        <f>Ruimtestaat[[#This Row],[uren / jaar weekend]]+Ruimtestaat[[#This Row],[uren / jaar werkdagen]]</f>
        <v>0</v>
      </c>
      <c r="AG134" s="83">
        <f>Ruimtestaat[[#This Row],[kosten / jaar weekend]]+Ruimtestaat[[#This Row],[kosten / jaar werkdagen]]</f>
        <v>0</v>
      </c>
      <c r="AH134" s="117"/>
      <c r="HL134" s="87"/>
    </row>
    <row r="135" spans="1:220" ht="15" customHeight="1">
      <c r="A135" s="136">
        <v>1</v>
      </c>
      <c r="B135" s="27" t="str">
        <f>VLOOKUP(Ruimtestaat[[#This Row],[Code]],Locaties[#All],2,FALSE)</f>
        <v>Amstelveen College</v>
      </c>
      <c r="C135" s="27" t="str">
        <f>VLOOKUP(Ruimtestaat[[#This Row],[Code]],Locaties[#All],4,FALSE)</f>
        <v>Sportlaan 27</v>
      </c>
      <c r="D135" s="27" t="str">
        <f>VLOOKUP(Ruimtestaat[[#This Row],[Code]],Locaties[#All],5,FALSE)</f>
        <v>1185 TB</v>
      </c>
      <c r="E135" s="27" t="str">
        <f>VLOOKUP(Ruimtestaat[[#This Row],[Code]],Locaties[#All],6,FALSE)</f>
        <v>Amstelveen</v>
      </c>
      <c r="F135" s="74"/>
      <c r="G135" s="27" t="s">
        <v>272</v>
      </c>
      <c r="H135" s="35">
        <v>1066</v>
      </c>
      <c r="I135" s="24" t="s">
        <v>367</v>
      </c>
      <c r="J135" s="27">
        <v>20</v>
      </c>
      <c r="K135" s="74" t="str">
        <f>VLOOKUP(J135,Ruimtegroepen[],2,FALSE)</f>
        <v>Niet in onderhoud</v>
      </c>
      <c r="M135" s="27"/>
      <c r="N135" s="107"/>
      <c r="O135" s="107">
        <v>7</v>
      </c>
      <c r="P135" s="118" t="str">
        <f>LEFT(VLOOKUP(Ruimtestaat[[#This Row],[Ruimte code]],Ruimtegroepen[#All],4,1),2)</f>
        <v/>
      </c>
      <c r="Q135" s="118"/>
      <c r="R135" s="108"/>
      <c r="S135" s="109"/>
      <c r="T135" s="110">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35" s="110">
        <f>IF(T135&gt;0,VLOOKUP($J135,Ruimtegroepen[],3,FALSE)*VLOOKUP($L135,Vloersoorten[],3,FALSE)*VLOOKUP($S135,Frequenties[],3,FALSE)*VLOOKUP($A135,Locaties[],3,FALSE),0)</f>
        <v>0</v>
      </c>
      <c r="V135" s="111">
        <f>Ruimtestaat[[#This Row],[Uitvoeringen werkdagen]]*Ruimtestaat[[#This Row],[Oppervlak (netto)]]</f>
        <v>0</v>
      </c>
      <c r="W135" s="112">
        <f>IF(U135&gt;0,Ruimtestaat[[#This Row],[Prest. (m2 /jaar) werkdagen]]/Ruimtestaat[[#This Row],[Norm (m2/uur) werkdagen]],0)</f>
        <v>0</v>
      </c>
      <c r="X135" s="113">
        <f>Ruimtestaat[[#This Row],[uren / jaar werkdagen]]*Tariefsopbouw!$E$35</f>
        <v>0</v>
      </c>
      <c r="Y135" s="110"/>
      <c r="Z135" s="114">
        <f>IF(Ruimtestaat[[#This Row],[Frequentie weekend]]&gt;0,VALUE(LEFT(Y135,1))*R135,0)</f>
        <v>0</v>
      </c>
      <c r="AA135" s="110">
        <f>IF($Z135&gt;0,VLOOKUP($J135,Ruimtegroepen[],3,FALSE)*VLOOKUP($L135,Vloersoorten[],3,FALSE)*VLOOKUP($Y135,Frequenties[],3,FALSE)*VLOOKUP($A106,Locaties[],3,FALSE),0)</f>
        <v>0</v>
      </c>
      <c r="AB135" s="112">
        <f>Ruimtestaat[[#This Row],[Uitvoeringen weekend]]*Ruimtestaat[[#This Row],[Oppervlak (netto)]]</f>
        <v>0</v>
      </c>
      <c r="AC135" s="115">
        <f>IF(AB135&gt;0,Ruimtestaat[[#This Row],[Prest. (m2 /jaar) weekend]]/Ruimtestaat[[#This Row],[Norm (m2/uur) weekend]],0)</f>
        <v>0</v>
      </c>
      <c r="AD135" s="116">
        <f>Ruimtestaat[[#This Row],[uren / jaar weekend]]*Tariefsopbouw!$D$40</f>
        <v>0</v>
      </c>
      <c r="AE135" s="82">
        <f>Ruimtestaat[[#This Row],[Prest. (m2 /jaar) weekend]]+Ruimtestaat[[#This Row],[Prest. (m2 /jaar) werkdagen]]</f>
        <v>0</v>
      </c>
      <c r="AF135" s="82">
        <f>Ruimtestaat[[#This Row],[uren / jaar weekend]]+Ruimtestaat[[#This Row],[uren / jaar werkdagen]]</f>
        <v>0</v>
      </c>
      <c r="AG135" s="83">
        <f>Ruimtestaat[[#This Row],[kosten / jaar weekend]]+Ruimtestaat[[#This Row],[kosten / jaar werkdagen]]</f>
        <v>0</v>
      </c>
      <c r="AH135" s="117"/>
      <c r="HL135" s="87"/>
    </row>
    <row r="136" spans="1:220" ht="15" customHeight="1">
      <c r="A136" s="136">
        <v>1</v>
      </c>
      <c r="B136" s="27" t="str">
        <f>VLOOKUP(Ruimtestaat[[#This Row],[Code]],Locaties[#All],2,FALSE)</f>
        <v>Amstelveen College</v>
      </c>
      <c r="C136" s="27" t="str">
        <f>VLOOKUP(Ruimtestaat[[#This Row],[Code]],Locaties[#All],4,FALSE)</f>
        <v>Sportlaan 27</v>
      </c>
      <c r="D136" s="27" t="str">
        <f>VLOOKUP(Ruimtestaat[[#This Row],[Code]],Locaties[#All],5,FALSE)</f>
        <v>1185 TB</v>
      </c>
      <c r="E136" s="27" t="str">
        <f>VLOOKUP(Ruimtestaat[[#This Row],[Code]],Locaties[#All],6,FALSE)</f>
        <v>Amstelveen</v>
      </c>
      <c r="F136" s="74"/>
      <c r="G136" s="27" t="s">
        <v>272</v>
      </c>
      <c r="H136" s="35">
        <v>1067</v>
      </c>
      <c r="I136" s="24" t="s">
        <v>540</v>
      </c>
      <c r="J136" s="27">
        <v>16</v>
      </c>
      <c r="K136" s="74" t="str">
        <f>VLOOKUP(J136,Ruimtegroepen[],2,FALSE)</f>
        <v>Leslokalen theorie</v>
      </c>
      <c r="L136" s="27" t="s">
        <v>114</v>
      </c>
      <c r="M136" s="27" t="s">
        <v>139</v>
      </c>
      <c r="N136" s="107">
        <v>20</v>
      </c>
      <c r="O136" s="107"/>
      <c r="P136" s="118" t="str">
        <f>LEFT(VLOOKUP(Ruimtestaat[[#This Row],[Ruimte code]],Ruimtegroepen[#All],4,1),2)</f>
        <v xml:space="preserve">L </v>
      </c>
      <c r="Q136" s="118"/>
      <c r="R136" s="108">
        <v>40</v>
      </c>
      <c r="S136" s="109" t="s">
        <v>18</v>
      </c>
      <c r="T136" s="110">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6" s="110">
        <f>IF(T136&gt;0,VLOOKUP($J136,Ruimtegroepen[],3,FALSE)*VLOOKUP($L136,Vloersoorten[],3,FALSE)*VLOOKUP($S136,Frequenties[],3,FALSE)*VLOOKUP($A136,Locaties[],3,FALSE),0)</f>
        <v>0</v>
      </c>
      <c r="V136" s="111">
        <f>Ruimtestaat[[#This Row],[Uitvoeringen werkdagen]]*Ruimtestaat[[#This Row],[Oppervlak (netto)]]</f>
        <v>2400</v>
      </c>
      <c r="W136" s="112">
        <f>IF(U136&gt;0,Ruimtestaat[[#This Row],[Prest. (m2 /jaar) werkdagen]]/Ruimtestaat[[#This Row],[Norm (m2/uur) werkdagen]],0)</f>
        <v>0</v>
      </c>
      <c r="X136" s="113">
        <f>Ruimtestaat[[#This Row],[uren / jaar werkdagen]]*Tariefsopbouw!$E$35</f>
        <v>0</v>
      </c>
      <c r="Y136" s="110"/>
      <c r="Z136" s="114">
        <f>IF(Ruimtestaat[[#This Row],[Frequentie weekend]]&gt;0,VALUE(LEFT(Y136,1))*R136,0)</f>
        <v>0</v>
      </c>
      <c r="AA136" s="110">
        <f>IF($Z136&gt;0,VLOOKUP($J136,Ruimtegroepen[],3,FALSE)*VLOOKUP($L136,Vloersoorten[],3,FALSE)*VLOOKUP($Y136,Frequenties[],3,FALSE)*VLOOKUP($A107,Locaties[],3,FALSE),0)</f>
        <v>0</v>
      </c>
      <c r="AB136" s="112">
        <f>Ruimtestaat[[#This Row],[Uitvoeringen weekend]]*Ruimtestaat[[#This Row],[Oppervlak (netto)]]</f>
        <v>0</v>
      </c>
      <c r="AC136" s="115">
        <f>IF(AB136&gt;0,Ruimtestaat[[#This Row],[Prest. (m2 /jaar) weekend]]/Ruimtestaat[[#This Row],[Norm (m2/uur) weekend]],0)</f>
        <v>0</v>
      </c>
      <c r="AD136" s="116">
        <f>Ruimtestaat[[#This Row],[uren / jaar weekend]]*Tariefsopbouw!$D$40</f>
        <v>0</v>
      </c>
      <c r="AE136" s="82">
        <f>Ruimtestaat[[#This Row],[Prest. (m2 /jaar) weekend]]+Ruimtestaat[[#This Row],[Prest. (m2 /jaar) werkdagen]]</f>
        <v>2400</v>
      </c>
      <c r="AF136" s="82">
        <f>Ruimtestaat[[#This Row],[uren / jaar weekend]]+Ruimtestaat[[#This Row],[uren / jaar werkdagen]]</f>
        <v>0</v>
      </c>
      <c r="AG136" s="83">
        <f>Ruimtestaat[[#This Row],[kosten / jaar weekend]]+Ruimtestaat[[#This Row],[kosten / jaar werkdagen]]</f>
        <v>0</v>
      </c>
      <c r="AH136" s="117"/>
      <c r="HL136" s="87"/>
    </row>
    <row r="137" spans="1:220" ht="15" customHeight="1">
      <c r="A137" s="136">
        <v>1</v>
      </c>
      <c r="B137" s="27" t="str">
        <f>VLOOKUP(Ruimtestaat[[#This Row],[Code]],Locaties[#All],2,FALSE)</f>
        <v>Amstelveen College</v>
      </c>
      <c r="C137" s="27" t="str">
        <f>VLOOKUP(Ruimtestaat[[#This Row],[Code]],Locaties[#All],4,FALSE)</f>
        <v>Sportlaan 27</v>
      </c>
      <c r="D137" s="27" t="str">
        <f>VLOOKUP(Ruimtestaat[[#This Row],[Code]],Locaties[#All],5,FALSE)</f>
        <v>1185 TB</v>
      </c>
      <c r="E137" s="27" t="str">
        <f>VLOOKUP(Ruimtestaat[[#This Row],[Code]],Locaties[#All],6,FALSE)</f>
        <v>Amstelveen</v>
      </c>
      <c r="F137" s="74"/>
      <c r="G137" s="27" t="s">
        <v>272</v>
      </c>
      <c r="H137" s="35">
        <v>1082</v>
      </c>
      <c r="I137" s="24" t="s">
        <v>541</v>
      </c>
      <c r="J137" s="27">
        <v>16</v>
      </c>
      <c r="K137" s="74" t="str">
        <f>VLOOKUP(J137,Ruimtegroepen[],2,FALSE)</f>
        <v>Leslokalen theorie</v>
      </c>
      <c r="L137" s="27" t="s">
        <v>114</v>
      </c>
      <c r="M137" s="27" t="s">
        <v>139</v>
      </c>
      <c r="N137" s="107">
        <v>38</v>
      </c>
      <c r="O137" s="107"/>
      <c r="P137" s="118" t="str">
        <f>LEFT(VLOOKUP(Ruimtestaat[[#This Row],[Ruimte code]],Ruimtegroepen[#All],4,1),2)</f>
        <v xml:space="preserve">L </v>
      </c>
      <c r="Q137" s="118"/>
      <c r="R137" s="108">
        <v>40</v>
      </c>
      <c r="S137" s="109" t="s">
        <v>18</v>
      </c>
      <c r="T137" s="110">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7" s="110">
        <f>IF(T137&gt;0,VLOOKUP($J137,Ruimtegroepen[],3,FALSE)*VLOOKUP($L137,Vloersoorten[],3,FALSE)*VLOOKUP($S137,Frequenties[],3,FALSE)*VLOOKUP($A137,Locaties[],3,FALSE),0)</f>
        <v>0</v>
      </c>
      <c r="V137" s="111">
        <f>Ruimtestaat[[#This Row],[Uitvoeringen werkdagen]]*Ruimtestaat[[#This Row],[Oppervlak (netto)]]</f>
        <v>4560</v>
      </c>
      <c r="W137" s="112">
        <f>IF(U137&gt;0,Ruimtestaat[[#This Row],[Prest. (m2 /jaar) werkdagen]]/Ruimtestaat[[#This Row],[Norm (m2/uur) werkdagen]],0)</f>
        <v>0</v>
      </c>
      <c r="X137" s="113">
        <f>Ruimtestaat[[#This Row],[uren / jaar werkdagen]]*Tariefsopbouw!$E$35</f>
        <v>0</v>
      </c>
      <c r="Y137" s="110"/>
      <c r="Z137" s="114">
        <f>IF(Ruimtestaat[[#This Row],[Frequentie weekend]]&gt;0,VALUE(LEFT(Y137,1))*R137,0)</f>
        <v>0</v>
      </c>
      <c r="AA137" s="110">
        <f>IF($Z137&gt;0,VLOOKUP($J137,Ruimtegroepen[],3,FALSE)*VLOOKUP($L137,Vloersoorten[],3,FALSE)*VLOOKUP($Y137,Frequenties[],3,FALSE)*VLOOKUP($A108,Locaties[],3,FALSE),0)</f>
        <v>0</v>
      </c>
      <c r="AB137" s="112">
        <f>Ruimtestaat[[#This Row],[Uitvoeringen weekend]]*Ruimtestaat[[#This Row],[Oppervlak (netto)]]</f>
        <v>0</v>
      </c>
      <c r="AC137" s="115">
        <f>IF(AB137&gt;0,Ruimtestaat[[#This Row],[Prest. (m2 /jaar) weekend]]/Ruimtestaat[[#This Row],[Norm (m2/uur) weekend]],0)</f>
        <v>0</v>
      </c>
      <c r="AD137" s="116">
        <f>Ruimtestaat[[#This Row],[uren / jaar weekend]]*Tariefsopbouw!$D$40</f>
        <v>0</v>
      </c>
      <c r="AE137" s="82">
        <f>Ruimtestaat[[#This Row],[Prest. (m2 /jaar) weekend]]+Ruimtestaat[[#This Row],[Prest. (m2 /jaar) werkdagen]]</f>
        <v>4560</v>
      </c>
      <c r="AF137" s="82">
        <f>Ruimtestaat[[#This Row],[uren / jaar weekend]]+Ruimtestaat[[#This Row],[uren / jaar werkdagen]]</f>
        <v>0</v>
      </c>
      <c r="AG137" s="83">
        <f>Ruimtestaat[[#This Row],[kosten / jaar weekend]]+Ruimtestaat[[#This Row],[kosten / jaar werkdagen]]</f>
        <v>0</v>
      </c>
      <c r="AH137" s="117"/>
      <c r="HL137" s="87"/>
    </row>
    <row r="138" spans="1:220" ht="15" customHeight="1">
      <c r="A138" s="136">
        <v>1</v>
      </c>
      <c r="B138" s="27" t="str">
        <f>VLOOKUP(Ruimtestaat[[#This Row],[Code]],Locaties[#All],2,FALSE)</f>
        <v>Amstelveen College</v>
      </c>
      <c r="C138" s="27" t="str">
        <f>VLOOKUP(Ruimtestaat[[#This Row],[Code]],Locaties[#All],4,FALSE)</f>
        <v>Sportlaan 27</v>
      </c>
      <c r="D138" s="27" t="str">
        <f>VLOOKUP(Ruimtestaat[[#This Row],[Code]],Locaties[#All],5,FALSE)</f>
        <v>1185 TB</v>
      </c>
      <c r="E138" s="27" t="str">
        <f>VLOOKUP(Ruimtestaat[[#This Row],[Code]],Locaties[#All],6,FALSE)</f>
        <v>Amstelveen</v>
      </c>
      <c r="F138" s="74"/>
      <c r="G138" s="27" t="s">
        <v>272</v>
      </c>
      <c r="H138" s="35">
        <v>1069</v>
      </c>
      <c r="I138" s="24" t="s">
        <v>368</v>
      </c>
      <c r="J138" s="27">
        <v>16</v>
      </c>
      <c r="K138" s="74" t="str">
        <f>VLOOKUP(J138,Ruimtegroepen[],2,FALSE)</f>
        <v>Leslokalen theorie</v>
      </c>
      <c r="L138" s="27" t="s">
        <v>114</v>
      </c>
      <c r="M138" s="27" t="s">
        <v>139</v>
      </c>
      <c r="N138" s="107">
        <v>51</v>
      </c>
      <c r="O138" s="107"/>
      <c r="P138" s="118" t="str">
        <f>LEFT(VLOOKUP(Ruimtestaat[[#This Row],[Ruimte code]],Ruimtegroepen[#All],4,1),2)</f>
        <v xml:space="preserve">L </v>
      </c>
      <c r="Q138" s="118"/>
      <c r="R138" s="108">
        <v>40</v>
      </c>
      <c r="S138" s="109" t="s">
        <v>18</v>
      </c>
      <c r="T138" s="110">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8" s="110">
        <f>IF(T138&gt;0,VLOOKUP($J138,Ruimtegroepen[],3,FALSE)*VLOOKUP($L138,Vloersoorten[],3,FALSE)*VLOOKUP($S138,Frequenties[],3,FALSE)*VLOOKUP($A138,Locaties[],3,FALSE),0)</f>
        <v>0</v>
      </c>
      <c r="V138" s="111">
        <f>Ruimtestaat[[#This Row],[Uitvoeringen werkdagen]]*Ruimtestaat[[#This Row],[Oppervlak (netto)]]</f>
        <v>6120</v>
      </c>
      <c r="W138" s="112">
        <f>IF(U138&gt;0,Ruimtestaat[[#This Row],[Prest. (m2 /jaar) werkdagen]]/Ruimtestaat[[#This Row],[Norm (m2/uur) werkdagen]],0)</f>
        <v>0</v>
      </c>
      <c r="X138" s="113">
        <f>Ruimtestaat[[#This Row],[uren / jaar werkdagen]]*Tariefsopbouw!$E$35</f>
        <v>0</v>
      </c>
      <c r="Y138" s="110"/>
      <c r="Z138" s="114">
        <f>IF(Ruimtestaat[[#This Row],[Frequentie weekend]]&gt;0,VALUE(LEFT(Y138,1))*R138,0)</f>
        <v>0</v>
      </c>
      <c r="AA138" s="110">
        <f>IF($Z138&gt;0,VLOOKUP($J138,Ruimtegroepen[],3,FALSE)*VLOOKUP($L138,Vloersoorten[],3,FALSE)*VLOOKUP($Y138,Frequenties[],3,FALSE)*VLOOKUP($A109,Locaties[],3,FALSE),0)</f>
        <v>0</v>
      </c>
      <c r="AB138" s="112">
        <f>Ruimtestaat[[#This Row],[Uitvoeringen weekend]]*Ruimtestaat[[#This Row],[Oppervlak (netto)]]</f>
        <v>0</v>
      </c>
      <c r="AC138" s="115">
        <f>IF(AB138&gt;0,Ruimtestaat[[#This Row],[Prest. (m2 /jaar) weekend]]/Ruimtestaat[[#This Row],[Norm (m2/uur) weekend]],0)</f>
        <v>0</v>
      </c>
      <c r="AD138" s="116">
        <f>Ruimtestaat[[#This Row],[uren / jaar weekend]]*Tariefsopbouw!$D$40</f>
        <v>0</v>
      </c>
      <c r="AE138" s="82">
        <f>Ruimtestaat[[#This Row],[Prest. (m2 /jaar) weekend]]+Ruimtestaat[[#This Row],[Prest. (m2 /jaar) werkdagen]]</f>
        <v>6120</v>
      </c>
      <c r="AF138" s="82">
        <f>Ruimtestaat[[#This Row],[uren / jaar weekend]]+Ruimtestaat[[#This Row],[uren / jaar werkdagen]]</f>
        <v>0</v>
      </c>
      <c r="AG138" s="83">
        <f>Ruimtestaat[[#This Row],[kosten / jaar weekend]]+Ruimtestaat[[#This Row],[kosten / jaar werkdagen]]</f>
        <v>0</v>
      </c>
      <c r="AH138" s="117"/>
      <c r="HL138" s="87"/>
    </row>
    <row r="139" spans="1:220" ht="15" customHeight="1">
      <c r="A139" s="136">
        <v>1</v>
      </c>
      <c r="B139" s="27" t="str">
        <f>VLOOKUP(Ruimtestaat[[#This Row],[Code]],Locaties[#All],2,FALSE)</f>
        <v>Amstelveen College</v>
      </c>
      <c r="C139" s="27" t="str">
        <f>VLOOKUP(Ruimtestaat[[#This Row],[Code]],Locaties[#All],4,FALSE)</f>
        <v>Sportlaan 27</v>
      </c>
      <c r="D139" s="27" t="str">
        <f>VLOOKUP(Ruimtestaat[[#This Row],[Code]],Locaties[#All],5,FALSE)</f>
        <v>1185 TB</v>
      </c>
      <c r="E139" s="27" t="str">
        <f>VLOOKUP(Ruimtestaat[[#This Row],[Code]],Locaties[#All],6,FALSE)</f>
        <v>Amstelveen</v>
      </c>
      <c r="F139" s="74"/>
      <c r="G139" s="27" t="s">
        <v>272</v>
      </c>
      <c r="H139" s="35">
        <v>1081</v>
      </c>
      <c r="I139" s="24" t="s">
        <v>368</v>
      </c>
      <c r="J139" s="27">
        <v>16</v>
      </c>
      <c r="K139" s="74" t="str">
        <f>VLOOKUP(J139,Ruimtegroepen[],2,FALSE)</f>
        <v>Leslokalen theorie</v>
      </c>
      <c r="L139" s="27" t="s">
        <v>114</v>
      </c>
      <c r="M139" s="27" t="s">
        <v>139</v>
      </c>
      <c r="N139" s="107">
        <v>53</v>
      </c>
      <c r="O139" s="107"/>
      <c r="P139" s="118" t="str">
        <f>LEFT(VLOOKUP(Ruimtestaat[[#This Row],[Ruimte code]],Ruimtegroepen[#All],4,1),2)</f>
        <v xml:space="preserve">L </v>
      </c>
      <c r="Q139" s="118"/>
      <c r="R139" s="108">
        <v>40</v>
      </c>
      <c r="S139" s="109" t="s">
        <v>18</v>
      </c>
      <c r="T139" s="110">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9" s="110">
        <f>IF(T139&gt;0,VLOOKUP($J139,Ruimtegroepen[],3,FALSE)*VLOOKUP($L139,Vloersoorten[],3,FALSE)*VLOOKUP($S139,Frequenties[],3,FALSE)*VLOOKUP($A139,Locaties[],3,FALSE),0)</f>
        <v>0</v>
      </c>
      <c r="V139" s="111">
        <f>Ruimtestaat[[#This Row],[Uitvoeringen werkdagen]]*Ruimtestaat[[#This Row],[Oppervlak (netto)]]</f>
        <v>6360</v>
      </c>
      <c r="W139" s="112">
        <f>IF(U139&gt;0,Ruimtestaat[[#This Row],[Prest. (m2 /jaar) werkdagen]]/Ruimtestaat[[#This Row],[Norm (m2/uur) werkdagen]],0)</f>
        <v>0</v>
      </c>
      <c r="X139" s="113">
        <f>Ruimtestaat[[#This Row],[uren / jaar werkdagen]]*Tariefsopbouw!$E$35</f>
        <v>0</v>
      </c>
      <c r="Y139" s="110"/>
      <c r="Z139" s="114">
        <f>IF(Ruimtestaat[[#This Row],[Frequentie weekend]]&gt;0,VALUE(LEFT(Y139,1))*R139,0)</f>
        <v>0</v>
      </c>
      <c r="AA139" s="110">
        <f>IF($Z139&gt;0,VLOOKUP($J139,Ruimtegroepen[],3,FALSE)*VLOOKUP($L139,Vloersoorten[],3,FALSE)*VLOOKUP($Y139,Frequenties[],3,FALSE)*VLOOKUP($A110,Locaties[],3,FALSE),0)</f>
        <v>0</v>
      </c>
      <c r="AB139" s="112">
        <f>Ruimtestaat[[#This Row],[Uitvoeringen weekend]]*Ruimtestaat[[#This Row],[Oppervlak (netto)]]</f>
        <v>0</v>
      </c>
      <c r="AC139" s="115">
        <f>IF(AB139&gt;0,Ruimtestaat[[#This Row],[Prest. (m2 /jaar) weekend]]/Ruimtestaat[[#This Row],[Norm (m2/uur) weekend]],0)</f>
        <v>0</v>
      </c>
      <c r="AD139" s="116">
        <f>Ruimtestaat[[#This Row],[uren / jaar weekend]]*Tariefsopbouw!$D$40</f>
        <v>0</v>
      </c>
      <c r="AE139" s="82">
        <f>Ruimtestaat[[#This Row],[Prest. (m2 /jaar) weekend]]+Ruimtestaat[[#This Row],[Prest. (m2 /jaar) werkdagen]]</f>
        <v>6360</v>
      </c>
      <c r="AF139" s="82">
        <f>Ruimtestaat[[#This Row],[uren / jaar weekend]]+Ruimtestaat[[#This Row],[uren / jaar werkdagen]]</f>
        <v>0</v>
      </c>
      <c r="AG139" s="83">
        <f>Ruimtestaat[[#This Row],[kosten / jaar weekend]]+Ruimtestaat[[#This Row],[kosten / jaar werkdagen]]</f>
        <v>0</v>
      </c>
      <c r="AH139" s="117"/>
      <c r="HL139" s="87"/>
    </row>
    <row r="140" spans="1:220" ht="15" customHeight="1">
      <c r="A140" s="136">
        <v>1</v>
      </c>
      <c r="B140" s="27" t="str">
        <f>VLOOKUP(Ruimtestaat[[#This Row],[Code]],Locaties[#All],2,FALSE)</f>
        <v>Amstelveen College</v>
      </c>
      <c r="C140" s="27" t="str">
        <f>VLOOKUP(Ruimtestaat[[#This Row],[Code]],Locaties[#All],4,FALSE)</f>
        <v>Sportlaan 27</v>
      </c>
      <c r="D140" s="27" t="str">
        <f>VLOOKUP(Ruimtestaat[[#This Row],[Code]],Locaties[#All],5,FALSE)</f>
        <v>1185 TB</v>
      </c>
      <c r="E140" s="27" t="str">
        <f>VLOOKUP(Ruimtestaat[[#This Row],[Code]],Locaties[#All],6,FALSE)</f>
        <v>Amstelveen</v>
      </c>
      <c r="F140" s="74"/>
      <c r="G140" s="27" t="s">
        <v>272</v>
      </c>
      <c r="H140" s="35">
        <v>1080</v>
      </c>
      <c r="I140" s="24" t="s">
        <v>368</v>
      </c>
      <c r="J140" s="27">
        <v>16</v>
      </c>
      <c r="K140" s="74" t="str">
        <f>VLOOKUP(J140,Ruimtegroepen[],2,FALSE)</f>
        <v>Leslokalen theorie</v>
      </c>
      <c r="L140" s="27" t="s">
        <v>114</v>
      </c>
      <c r="M140" s="27" t="s">
        <v>139</v>
      </c>
      <c r="N140" s="107">
        <v>55</v>
      </c>
      <c r="O140" s="107"/>
      <c r="P140" s="118" t="str">
        <f>LEFT(VLOOKUP(Ruimtestaat[[#This Row],[Ruimte code]],Ruimtegroepen[#All],4,1),2)</f>
        <v xml:space="preserve">L </v>
      </c>
      <c r="Q140" s="118"/>
      <c r="R140" s="108">
        <v>40</v>
      </c>
      <c r="S140" s="109" t="s">
        <v>18</v>
      </c>
      <c r="T140" s="110">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40" s="110">
        <f>IF(T140&gt;0,VLOOKUP($J140,Ruimtegroepen[],3,FALSE)*VLOOKUP($L140,Vloersoorten[],3,FALSE)*VLOOKUP($S140,Frequenties[],3,FALSE)*VLOOKUP($A140,Locaties[],3,FALSE),0)</f>
        <v>0</v>
      </c>
      <c r="V140" s="111">
        <f>Ruimtestaat[[#This Row],[Uitvoeringen werkdagen]]*Ruimtestaat[[#This Row],[Oppervlak (netto)]]</f>
        <v>6600</v>
      </c>
      <c r="W140" s="112">
        <f>IF(U140&gt;0,Ruimtestaat[[#This Row],[Prest. (m2 /jaar) werkdagen]]/Ruimtestaat[[#This Row],[Norm (m2/uur) werkdagen]],0)</f>
        <v>0</v>
      </c>
      <c r="X140" s="113">
        <f>Ruimtestaat[[#This Row],[uren / jaar werkdagen]]*Tariefsopbouw!$E$35</f>
        <v>0</v>
      </c>
      <c r="Y140" s="110"/>
      <c r="Z140" s="114">
        <f>IF(Ruimtestaat[[#This Row],[Frequentie weekend]]&gt;0,VALUE(LEFT(Y140,1))*R140,0)</f>
        <v>0</v>
      </c>
      <c r="AA140" s="110">
        <f>IF($Z140&gt;0,VLOOKUP($J140,Ruimtegroepen[],3,FALSE)*VLOOKUP($L140,Vloersoorten[],3,FALSE)*VLOOKUP($Y140,Frequenties[],3,FALSE)*VLOOKUP($A111,Locaties[],3,FALSE),0)</f>
        <v>0</v>
      </c>
      <c r="AB140" s="112">
        <f>Ruimtestaat[[#This Row],[Uitvoeringen weekend]]*Ruimtestaat[[#This Row],[Oppervlak (netto)]]</f>
        <v>0</v>
      </c>
      <c r="AC140" s="115">
        <f>IF(AB140&gt;0,Ruimtestaat[[#This Row],[Prest. (m2 /jaar) weekend]]/Ruimtestaat[[#This Row],[Norm (m2/uur) weekend]],0)</f>
        <v>0</v>
      </c>
      <c r="AD140" s="116">
        <f>Ruimtestaat[[#This Row],[uren / jaar weekend]]*Tariefsopbouw!$D$40</f>
        <v>0</v>
      </c>
      <c r="AE140" s="82">
        <f>Ruimtestaat[[#This Row],[Prest. (m2 /jaar) weekend]]+Ruimtestaat[[#This Row],[Prest. (m2 /jaar) werkdagen]]</f>
        <v>6600</v>
      </c>
      <c r="AF140" s="82">
        <f>Ruimtestaat[[#This Row],[uren / jaar weekend]]+Ruimtestaat[[#This Row],[uren / jaar werkdagen]]</f>
        <v>0</v>
      </c>
      <c r="AG140" s="83">
        <f>Ruimtestaat[[#This Row],[kosten / jaar weekend]]+Ruimtestaat[[#This Row],[kosten / jaar werkdagen]]</f>
        <v>0</v>
      </c>
      <c r="AH140" s="117"/>
      <c r="HL140" s="87"/>
    </row>
    <row r="141" spans="1:220" ht="15" customHeight="1">
      <c r="A141" s="136">
        <v>1</v>
      </c>
      <c r="B141" s="27" t="str">
        <f>VLOOKUP(Ruimtestaat[[#This Row],[Code]],Locaties[#All],2,FALSE)</f>
        <v>Amstelveen College</v>
      </c>
      <c r="C141" s="27" t="str">
        <f>VLOOKUP(Ruimtestaat[[#This Row],[Code]],Locaties[#All],4,FALSE)</f>
        <v>Sportlaan 27</v>
      </c>
      <c r="D141" s="27" t="str">
        <f>VLOOKUP(Ruimtestaat[[#This Row],[Code]],Locaties[#All],5,FALSE)</f>
        <v>1185 TB</v>
      </c>
      <c r="E141" s="27" t="str">
        <f>VLOOKUP(Ruimtestaat[[#This Row],[Code]],Locaties[#All],6,FALSE)</f>
        <v>Amstelveen</v>
      </c>
      <c r="F141" s="74"/>
      <c r="G141" s="27" t="s">
        <v>272</v>
      </c>
      <c r="H141" s="35">
        <v>1079</v>
      </c>
      <c r="I141" s="24" t="s">
        <v>369</v>
      </c>
      <c r="J141" s="27">
        <v>6</v>
      </c>
      <c r="K141" s="74" t="str">
        <f>VLOOKUP(J141,Ruimtegroepen[],2,FALSE)</f>
        <v>Gangen/hallen</v>
      </c>
      <c r="L141" s="27" t="s">
        <v>114</v>
      </c>
      <c r="M141" s="27" t="s">
        <v>139</v>
      </c>
      <c r="N141" s="107">
        <v>35</v>
      </c>
      <c r="O141" s="107"/>
      <c r="P141" s="118" t="str">
        <f>LEFT(VLOOKUP(Ruimtestaat[[#This Row],[Ruimte code]],Ruimtegroepen[#All],4,1),2)</f>
        <v xml:space="preserve">V </v>
      </c>
      <c r="Q141" s="118"/>
      <c r="R141" s="108">
        <v>42</v>
      </c>
      <c r="S141" s="109" t="s">
        <v>2</v>
      </c>
      <c r="T141" s="110">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41" s="110">
        <f>IF(T141&gt;0,VLOOKUP($J141,Ruimtegroepen[],3,FALSE)*VLOOKUP($L141,Vloersoorten[],3,FALSE)*VLOOKUP($S141,Frequenties[],3,FALSE)*VLOOKUP($A141,Locaties[],3,FALSE),0)</f>
        <v>0</v>
      </c>
      <c r="V141" s="111">
        <f>Ruimtestaat[[#This Row],[Uitvoeringen werkdagen]]*Ruimtestaat[[#This Row],[Oppervlak (netto)]]</f>
        <v>7350</v>
      </c>
      <c r="W141" s="112">
        <f>IF(U141&gt;0,Ruimtestaat[[#This Row],[Prest. (m2 /jaar) werkdagen]]/Ruimtestaat[[#This Row],[Norm (m2/uur) werkdagen]],0)</f>
        <v>0</v>
      </c>
      <c r="X141" s="113">
        <f>Ruimtestaat[[#This Row],[uren / jaar werkdagen]]*Tariefsopbouw!$E$35</f>
        <v>0</v>
      </c>
      <c r="Y141" s="110"/>
      <c r="Z141" s="114">
        <f>IF(Ruimtestaat[[#This Row],[Frequentie weekend]]&gt;0,VALUE(LEFT(Y141,1))*R141,0)</f>
        <v>0</v>
      </c>
      <c r="AA141" s="110">
        <f>IF($Z141&gt;0,VLOOKUP($J141,Ruimtegroepen[],3,FALSE)*VLOOKUP($L141,Vloersoorten[],3,FALSE)*VLOOKUP($Y141,Frequenties[],3,FALSE)*VLOOKUP($A112,Locaties[],3,FALSE),0)</f>
        <v>0</v>
      </c>
      <c r="AB141" s="112">
        <f>Ruimtestaat[[#This Row],[Uitvoeringen weekend]]*Ruimtestaat[[#This Row],[Oppervlak (netto)]]</f>
        <v>0</v>
      </c>
      <c r="AC141" s="115">
        <f>IF(AB141&gt;0,Ruimtestaat[[#This Row],[Prest. (m2 /jaar) weekend]]/Ruimtestaat[[#This Row],[Norm (m2/uur) weekend]],0)</f>
        <v>0</v>
      </c>
      <c r="AD141" s="116">
        <f>Ruimtestaat[[#This Row],[uren / jaar weekend]]*Tariefsopbouw!$D$40</f>
        <v>0</v>
      </c>
      <c r="AE141" s="82">
        <f>Ruimtestaat[[#This Row],[Prest. (m2 /jaar) weekend]]+Ruimtestaat[[#This Row],[Prest. (m2 /jaar) werkdagen]]</f>
        <v>7350</v>
      </c>
      <c r="AF141" s="82">
        <f>Ruimtestaat[[#This Row],[uren / jaar weekend]]+Ruimtestaat[[#This Row],[uren / jaar werkdagen]]</f>
        <v>0</v>
      </c>
      <c r="AG141" s="83">
        <f>Ruimtestaat[[#This Row],[kosten / jaar weekend]]+Ruimtestaat[[#This Row],[kosten / jaar werkdagen]]</f>
        <v>0</v>
      </c>
      <c r="AH141" s="117"/>
      <c r="HL141" s="87"/>
    </row>
    <row r="142" spans="1:220" ht="15" customHeight="1">
      <c r="A142" s="136">
        <v>1</v>
      </c>
      <c r="B142" s="27" t="str">
        <f>VLOOKUP(Ruimtestaat[[#This Row],[Code]],Locaties[#All],2,FALSE)</f>
        <v>Amstelveen College</v>
      </c>
      <c r="C142" s="27" t="str">
        <f>VLOOKUP(Ruimtestaat[[#This Row],[Code]],Locaties[#All],4,FALSE)</f>
        <v>Sportlaan 27</v>
      </c>
      <c r="D142" s="27" t="str">
        <f>VLOOKUP(Ruimtestaat[[#This Row],[Code]],Locaties[#All],5,FALSE)</f>
        <v>1185 TB</v>
      </c>
      <c r="E142" s="27" t="str">
        <f>VLOOKUP(Ruimtestaat[[#This Row],[Code]],Locaties[#All],6,FALSE)</f>
        <v>Amstelveen</v>
      </c>
      <c r="F142" s="74"/>
      <c r="G142" s="27" t="s">
        <v>272</v>
      </c>
      <c r="H142" s="35">
        <v>1025</v>
      </c>
      <c r="I142" s="24" t="s">
        <v>369</v>
      </c>
      <c r="J142" s="27">
        <v>6</v>
      </c>
      <c r="K142" s="74" t="str">
        <f>VLOOKUP(J142,Ruimtegroepen[],2,FALSE)</f>
        <v>Gangen/hallen</v>
      </c>
      <c r="L142" s="27" t="s">
        <v>114</v>
      </c>
      <c r="M142" s="27" t="s">
        <v>139</v>
      </c>
      <c r="N142" s="107">
        <v>34</v>
      </c>
      <c r="O142" s="107"/>
      <c r="P142" s="118" t="str">
        <f>LEFT(VLOOKUP(Ruimtestaat[[#This Row],[Ruimte code]],Ruimtegroepen[#All],4,1),2)</f>
        <v xml:space="preserve">V </v>
      </c>
      <c r="Q142" s="118"/>
      <c r="R142" s="108">
        <v>42</v>
      </c>
      <c r="S142" s="109" t="s">
        <v>2</v>
      </c>
      <c r="T142" s="110">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42" s="110">
        <f>IF(T142&gt;0,VLOOKUP($J142,Ruimtegroepen[],3,FALSE)*VLOOKUP($L142,Vloersoorten[],3,FALSE)*VLOOKUP($S142,Frequenties[],3,FALSE)*VLOOKUP($A142,Locaties[],3,FALSE),0)</f>
        <v>0</v>
      </c>
      <c r="V142" s="111">
        <f>Ruimtestaat[[#This Row],[Uitvoeringen werkdagen]]*Ruimtestaat[[#This Row],[Oppervlak (netto)]]</f>
        <v>7140</v>
      </c>
      <c r="W142" s="112">
        <f>IF(U142&gt;0,Ruimtestaat[[#This Row],[Prest. (m2 /jaar) werkdagen]]/Ruimtestaat[[#This Row],[Norm (m2/uur) werkdagen]],0)</f>
        <v>0</v>
      </c>
      <c r="X142" s="113">
        <f>Ruimtestaat[[#This Row],[uren / jaar werkdagen]]*Tariefsopbouw!$E$35</f>
        <v>0</v>
      </c>
      <c r="Y142" s="110"/>
      <c r="Z142" s="114">
        <f>IF(Ruimtestaat[[#This Row],[Frequentie weekend]]&gt;0,VALUE(LEFT(Y142,1))*R142,0)</f>
        <v>0</v>
      </c>
      <c r="AA142" s="110">
        <f>IF($Z142&gt;0,VLOOKUP($J142,Ruimtegroepen[],3,FALSE)*VLOOKUP($L142,Vloersoorten[],3,FALSE)*VLOOKUP($Y142,Frequenties[],3,FALSE)*VLOOKUP($A113,Locaties[],3,FALSE),0)</f>
        <v>0</v>
      </c>
      <c r="AB142" s="112">
        <f>Ruimtestaat[[#This Row],[Uitvoeringen weekend]]*Ruimtestaat[[#This Row],[Oppervlak (netto)]]</f>
        <v>0</v>
      </c>
      <c r="AC142" s="115">
        <f>IF(AB142&gt;0,Ruimtestaat[[#This Row],[Prest. (m2 /jaar) weekend]]/Ruimtestaat[[#This Row],[Norm (m2/uur) weekend]],0)</f>
        <v>0</v>
      </c>
      <c r="AD142" s="116">
        <f>Ruimtestaat[[#This Row],[uren / jaar weekend]]*Tariefsopbouw!$D$40</f>
        <v>0</v>
      </c>
      <c r="AE142" s="82">
        <f>Ruimtestaat[[#This Row],[Prest. (m2 /jaar) weekend]]+Ruimtestaat[[#This Row],[Prest. (m2 /jaar) werkdagen]]</f>
        <v>7140</v>
      </c>
      <c r="AF142" s="82">
        <f>Ruimtestaat[[#This Row],[uren / jaar weekend]]+Ruimtestaat[[#This Row],[uren / jaar werkdagen]]</f>
        <v>0</v>
      </c>
      <c r="AG142" s="83">
        <f>Ruimtestaat[[#This Row],[kosten / jaar weekend]]+Ruimtestaat[[#This Row],[kosten / jaar werkdagen]]</f>
        <v>0</v>
      </c>
      <c r="AH142" s="117"/>
      <c r="HL142" s="87"/>
    </row>
    <row r="143" spans="1:220" ht="15" customHeight="1">
      <c r="A143" s="136">
        <v>1</v>
      </c>
      <c r="B143" s="27" t="str">
        <f>VLOOKUP(Ruimtestaat[[#This Row],[Code]],Locaties[#All],2,FALSE)</f>
        <v>Amstelveen College</v>
      </c>
      <c r="C143" s="27" t="str">
        <f>VLOOKUP(Ruimtestaat[[#This Row],[Code]],Locaties[#All],4,FALSE)</f>
        <v>Sportlaan 27</v>
      </c>
      <c r="D143" s="27" t="str">
        <f>VLOOKUP(Ruimtestaat[[#This Row],[Code]],Locaties[#All],5,FALSE)</f>
        <v>1185 TB</v>
      </c>
      <c r="E143" s="27" t="str">
        <f>VLOOKUP(Ruimtestaat[[#This Row],[Code]],Locaties[#All],6,FALSE)</f>
        <v>Amstelveen</v>
      </c>
      <c r="F143" s="74"/>
      <c r="G143" s="27" t="s">
        <v>272</v>
      </c>
      <c r="H143" s="35">
        <v>1027</v>
      </c>
      <c r="I143" s="24" t="s">
        <v>369</v>
      </c>
      <c r="J143" s="27">
        <v>6</v>
      </c>
      <c r="K143" s="74" t="str">
        <f>VLOOKUP(J143,Ruimtegroepen[],2,FALSE)</f>
        <v>Gangen/hallen</v>
      </c>
      <c r="L143" s="27" t="s">
        <v>114</v>
      </c>
      <c r="M143" s="27" t="s">
        <v>139</v>
      </c>
      <c r="N143" s="107">
        <v>30</v>
      </c>
      <c r="O143" s="107"/>
      <c r="P143" s="118" t="str">
        <f>LEFT(VLOOKUP(Ruimtestaat[[#This Row],[Ruimte code]],Ruimtegroepen[#All],4,1),2)</f>
        <v xml:space="preserve">V </v>
      </c>
      <c r="Q143" s="118"/>
      <c r="R143" s="108">
        <v>42</v>
      </c>
      <c r="S143" s="109" t="s">
        <v>2</v>
      </c>
      <c r="T143" s="110">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43" s="110">
        <f>IF(T143&gt;0,VLOOKUP($J143,Ruimtegroepen[],3,FALSE)*VLOOKUP($L143,Vloersoorten[],3,FALSE)*VLOOKUP($S143,Frequenties[],3,FALSE)*VLOOKUP($A143,Locaties[],3,FALSE),0)</f>
        <v>0</v>
      </c>
      <c r="V143" s="111">
        <f>Ruimtestaat[[#This Row],[Uitvoeringen werkdagen]]*Ruimtestaat[[#This Row],[Oppervlak (netto)]]</f>
        <v>6300</v>
      </c>
      <c r="W143" s="112">
        <f>IF(U143&gt;0,Ruimtestaat[[#This Row],[Prest. (m2 /jaar) werkdagen]]/Ruimtestaat[[#This Row],[Norm (m2/uur) werkdagen]],0)</f>
        <v>0</v>
      </c>
      <c r="X143" s="113">
        <f>Ruimtestaat[[#This Row],[uren / jaar werkdagen]]*Tariefsopbouw!$E$35</f>
        <v>0</v>
      </c>
      <c r="Y143" s="110"/>
      <c r="Z143" s="114">
        <f>IF(Ruimtestaat[[#This Row],[Frequentie weekend]]&gt;0,VALUE(LEFT(Y143,1))*R143,0)</f>
        <v>0</v>
      </c>
      <c r="AA143" s="110">
        <f>IF($Z143&gt;0,VLOOKUP($J143,Ruimtegroepen[],3,FALSE)*VLOOKUP($L143,Vloersoorten[],3,FALSE)*VLOOKUP($Y143,Frequenties[],3,FALSE)*VLOOKUP($A114,Locaties[],3,FALSE),0)</f>
        <v>0</v>
      </c>
      <c r="AB143" s="112">
        <f>Ruimtestaat[[#This Row],[Uitvoeringen weekend]]*Ruimtestaat[[#This Row],[Oppervlak (netto)]]</f>
        <v>0</v>
      </c>
      <c r="AC143" s="115">
        <f>IF(AB143&gt;0,Ruimtestaat[[#This Row],[Prest. (m2 /jaar) weekend]]/Ruimtestaat[[#This Row],[Norm (m2/uur) weekend]],0)</f>
        <v>0</v>
      </c>
      <c r="AD143" s="116">
        <f>Ruimtestaat[[#This Row],[uren / jaar weekend]]*Tariefsopbouw!$D$40</f>
        <v>0</v>
      </c>
      <c r="AE143" s="82">
        <f>Ruimtestaat[[#This Row],[Prest. (m2 /jaar) weekend]]+Ruimtestaat[[#This Row],[Prest. (m2 /jaar) werkdagen]]</f>
        <v>6300</v>
      </c>
      <c r="AF143" s="82">
        <f>Ruimtestaat[[#This Row],[uren / jaar weekend]]+Ruimtestaat[[#This Row],[uren / jaar werkdagen]]</f>
        <v>0</v>
      </c>
      <c r="AG143" s="83">
        <f>Ruimtestaat[[#This Row],[kosten / jaar weekend]]+Ruimtestaat[[#This Row],[kosten / jaar werkdagen]]</f>
        <v>0</v>
      </c>
      <c r="AH143" s="117"/>
      <c r="HL143" s="87"/>
    </row>
    <row r="144" spans="1:220" ht="15" customHeight="1">
      <c r="A144" s="136">
        <v>1</v>
      </c>
      <c r="B144" s="27" t="str">
        <f>VLOOKUP(Ruimtestaat[[#This Row],[Code]],Locaties[#All],2,FALSE)</f>
        <v>Amstelveen College</v>
      </c>
      <c r="C144" s="27" t="str">
        <f>VLOOKUP(Ruimtestaat[[#This Row],[Code]],Locaties[#All],4,FALSE)</f>
        <v>Sportlaan 27</v>
      </c>
      <c r="D144" s="27" t="str">
        <f>VLOOKUP(Ruimtestaat[[#This Row],[Code]],Locaties[#All],5,FALSE)</f>
        <v>1185 TB</v>
      </c>
      <c r="E144" s="27" t="str">
        <f>VLOOKUP(Ruimtestaat[[#This Row],[Code]],Locaties[#All],6,FALSE)</f>
        <v>Amstelveen</v>
      </c>
      <c r="F144" s="74"/>
      <c r="G144" s="27" t="s">
        <v>272</v>
      </c>
      <c r="H144" s="35">
        <v>1028</v>
      </c>
      <c r="I144" s="24" t="s">
        <v>542</v>
      </c>
      <c r="J144" s="27">
        <v>2</v>
      </c>
      <c r="K144" s="74" t="str">
        <f>VLOOKUP(J144,Ruimtegroepen[],2,FALSE)</f>
        <v>Kantoren</v>
      </c>
      <c r="L144" s="27" t="s">
        <v>113</v>
      </c>
      <c r="M144" s="27" t="s">
        <v>39</v>
      </c>
      <c r="N144" s="107">
        <v>27</v>
      </c>
      <c r="O144" s="107"/>
      <c r="P144" s="118" t="str">
        <f>LEFT(VLOOKUP(Ruimtestaat[[#This Row],[Ruimte code]],Ruimtegroepen[#All],4,1),2)</f>
        <v xml:space="preserve">B </v>
      </c>
      <c r="Q144" s="118"/>
      <c r="R144" s="108">
        <v>42</v>
      </c>
      <c r="S144" s="109" t="s">
        <v>15</v>
      </c>
      <c r="T144" s="110">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44" s="110">
        <f>IF(T144&gt;0,VLOOKUP($J144,Ruimtegroepen[],3,FALSE)*VLOOKUP($L144,Vloersoorten[],3,FALSE)*VLOOKUP($S144,Frequenties[],3,FALSE)*VLOOKUP($A144,Locaties[],3,FALSE),0)</f>
        <v>0</v>
      </c>
      <c r="V144" s="111">
        <f>Ruimtestaat[[#This Row],[Uitvoeringen werkdagen]]*Ruimtestaat[[#This Row],[Oppervlak (netto)]]</f>
        <v>1134</v>
      </c>
      <c r="W144" s="112">
        <f>IF(U144&gt;0,Ruimtestaat[[#This Row],[Prest. (m2 /jaar) werkdagen]]/Ruimtestaat[[#This Row],[Norm (m2/uur) werkdagen]],0)</f>
        <v>0</v>
      </c>
      <c r="X144" s="113">
        <f>Ruimtestaat[[#This Row],[uren / jaar werkdagen]]*Tariefsopbouw!$E$35</f>
        <v>0</v>
      </c>
      <c r="Y144" s="110"/>
      <c r="Z144" s="114">
        <f>IF(Ruimtestaat[[#This Row],[Frequentie weekend]]&gt;0,VALUE(LEFT(Y144,1))*R144,0)</f>
        <v>0</v>
      </c>
      <c r="AA144" s="110">
        <f>IF($Z144&gt;0,VLOOKUP($J144,Ruimtegroepen[],3,FALSE)*VLOOKUP($L144,Vloersoorten[],3,FALSE)*VLOOKUP($Y144,Frequenties[],3,FALSE)*VLOOKUP($A115,Locaties[],3,FALSE),0)</f>
        <v>0</v>
      </c>
      <c r="AB144" s="112">
        <f>Ruimtestaat[[#This Row],[Uitvoeringen weekend]]*Ruimtestaat[[#This Row],[Oppervlak (netto)]]</f>
        <v>0</v>
      </c>
      <c r="AC144" s="115">
        <f>IF(AB144&gt;0,Ruimtestaat[[#This Row],[Prest. (m2 /jaar) weekend]]/Ruimtestaat[[#This Row],[Norm (m2/uur) weekend]],0)</f>
        <v>0</v>
      </c>
      <c r="AD144" s="116">
        <f>Ruimtestaat[[#This Row],[uren / jaar weekend]]*Tariefsopbouw!$D$40</f>
        <v>0</v>
      </c>
      <c r="AE144" s="82">
        <f>Ruimtestaat[[#This Row],[Prest. (m2 /jaar) weekend]]+Ruimtestaat[[#This Row],[Prest. (m2 /jaar) werkdagen]]</f>
        <v>1134</v>
      </c>
      <c r="AF144" s="82">
        <f>Ruimtestaat[[#This Row],[uren / jaar weekend]]+Ruimtestaat[[#This Row],[uren / jaar werkdagen]]</f>
        <v>0</v>
      </c>
      <c r="AG144" s="83">
        <f>Ruimtestaat[[#This Row],[kosten / jaar weekend]]+Ruimtestaat[[#This Row],[kosten / jaar werkdagen]]</f>
        <v>0</v>
      </c>
      <c r="AH144" s="117"/>
      <c r="HL144" s="87"/>
    </row>
    <row r="145" spans="1:220" ht="15" customHeight="1">
      <c r="A145" s="136">
        <v>1</v>
      </c>
      <c r="B145" s="27" t="str">
        <f>VLOOKUP(Ruimtestaat[[#This Row],[Code]],Locaties[#All],2,FALSE)</f>
        <v>Amstelveen College</v>
      </c>
      <c r="C145" s="27" t="str">
        <f>VLOOKUP(Ruimtestaat[[#This Row],[Code]],Locaties[#All],4,FALSE)</f>
        <v>Sportlaan 27</v>
      </c>
      <c r="D145" s="27" t="str">
        <f>VLOOKUP(Ruimtestaat[[#This Row],[Code]],Locaties[#All],5,FALSE)</f>
        <v>1185 TB</v>
      </c>
      <c r="E145" s="27" t="str">
        <f>VLOOKUP(Ruimtestaat[[#This Row],[Code]],Locaties[#All],6,FALSE)</f>
        <v>Amstelveen</v>
      </c>
      <c r="F145" s="74"/>
      <c r="G145" s="27" t="s">
        <v>272</v>
      </c>
      <c r="H145" s="35" t="s">
        <v>543</v>
      </c>
      <c r="I145" s="24" t="s">
        <v>544</v>
      </c>
      <c r="J145" s="27">
        <v>4</v>
      </c>
      <c r="K145" s="74" t="str">
        <f>VLOOKUP(J145,Ruimtegroepen[],2,FALSE)</f>
        <v>Vergader/spreekkamers</v>
      </c>
      <c r="L145" s="27" t="s">
        <v>113</v>
      </c>
      <c r="M145" s="27" t="s">
        <v>39</v>
      </c>
      <c r="N145" s="107">
        <v>7</v>
      </c>
      <c r="O145" s="107"/>
      <c r="P145" s="118" t="str">
        <f>LEFT(VLOOKUP(Ruimtestaat[[#This Row],[Ruimte code]],Ruimtegroepen[#All],4,1),2)</f>
        <v xml:space="preserve">B </v>
      </c>
      <c r="Q145" s="118"/>
      <c r="R145" s="108">
        <v>40</v>
      </c>
      <c r="S145" s="109" t="s">
        <v>15</v>
      </c>
      <c r="T145" s="110">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45" s="110">
        <f>IF(T145&gt;0,VLOOKUP($J145,Ruimtegroepen[],3,FALSE)*VLOOKUP($L145,Vloersoorten[],3,FALSE)*VLOOKUP($S145,Frequenties[],3,FALSE)*VLOOKUP($A145,Locaties[],3,FALSE),0)</f>
        <v>0</v>
      </c>
      <c r="V145" s="111">
        <f>Ruimtestaat[[#This Row],[Uitvoeringen werkdagen]]*Ruimtestaat[[#This Row],[Oppervlak (netto)]]</f>
        <v>280</v>
      </c>
      <c r="W145" s="112">
        <f>IF(U145&gt;0,Ruimtestaat[[#This Row],[Prest. (m2 /jaar) werkdagen]]/Ruimtestaat[[#This Row],[Norm (m2/uur) werkdagen]],0)</f>
        <v>0</v>
      </c>
      <c r="X145" s="113">
        <f>Ruimtestaat[[#This Row],[uren / jaar werkdagen]]*Tariefsopbouw!$E$35</f>
        <v>0</v>
      </c>
      <c r="Y145" s="110"/>
      <c r="Z145" s="114">
        <f>IF(Ruimtestaat[[#This Row],[Frequentie weekend]]&gt;0,VALUE(LEFT(Y145,1))*R145,0)</f>
        <v>0</v>
      </c>
      <c r="AA145" s="110">
        <f>IF($Z145&gt;0,VLOOKUP($J145,Ruimtegroepen[],3,FALSE)*VLOOKUP($L145,Vloersoorten[],3,FALSE)*VLOOKUP($Y145,Frequenties[],3,FALSE)*VLOOKUP($A116,Locaties[],3,FALSE),0)</f>
        <v>0</v>
      </c>
      <c r="AB145" s="112">
        <f>Ruimtestaat[[#This Row],[Uitvoeringen weekend]]*Ruimtestaat[[#This Row],[Oppervlak (netto)]]</f>
        <v>0</v>
      </c>
      <c r="AC145" s="115">
        <f>IF(AB145&gt;0,Ruimtestaat[[#This Row],[Prest. (m2 /jaar) weekend]]/Ruimtestaat[[#This Row],[Norm (m2/uur) weekend]],0)</f>
        <v>0</v>
      </c>
      <c r="AD145" s="116">
        <f>Ruimtestaat[[#This Row],[uren / jaar weekend]]*Tariefsopbouw!$D$40</f>
        <v>0</v>
      </c>
      <c r="AE145" s="82">
        <f>Ruimtestaat[[#This Row],[Prest. (m2 /jaar) weekend]]+Ruimtestaat[[#This Row],[Prest. (m2 /jaar) werkdagen]]</f>
        <v>280</v>
      </c>
      <c r="AF145" s="82">
        <f>Ruimtestaat[[#This Row],[uren / jaar weekend]]+Ruimtestaat[[#This Row],[uren / jaar werkdagen]]</f>
        <v>0</v>
      </c>
      <c r="AG145" s="83">
        <f>Ruimtestaat[[#This Row],[kosten / jaar weekend]]+Ruimtestaat[[#This Row],[kosten / jaar werkdagen]]</f>
        <v>0</v>
      </c>
      <c r="AH145" s="117"/>
      <c r="HL145" s="87"/>
    </row>
    <row r="146" spans="1:220" ht="15" customHeight="1">
      <c r="A146" s="136">
        <v>1</v>
      </c>
      <c r="B146" s="27" t="str">
        <f>VLOOKUP(Ruimtestaat[[#This Row],[Code]],Locaties[#All],2,FALSE)</f>
        <v>Amstelveen College</v>
      </c>
      <c r="C146" s="27" t="str">
        <f>VLOOKUP(Ruimtestaat[[#This Row],[Code]],Locaties[#All],4,FALSE)</f>
        <v>Sportlaan 27</v>
      </c>
      <c r="D146" s="27" t="str">
        <f>VLOOKUP(Ruimtestaat[[#This Row],[Code]],Locaties[#All],5,FALSE)</f>
        <v>1185 TB</v>
      </c>
      <c r="E146" s="27" t="str">
        <f>VLOOKUP(Ruimtestaat[[#This Row],[Code]],Locaties[#All],6,FALSE)</f>
        <v>Amstelveen</v>
      </c>
      <c r="F146" s="74"/>
      <c r="G146" s="27" t="s">
        <v>272</v>
      </c>
      <c r="H146" s="35">
        <v>1048</v>
      </c>
      <c r="I146" s="24" t="s">
        <v>545</v>
      </c>
      <c r="J146" s="27">
        <v>2</v>
      </c>
      <c r="K146" s="74" t="str">
        <f>VLOOKUP(J146,Ruimtegroepen[],2,FALSE)</f>
        <v>Kantoren</v>
      </c>
      <c r="L146" s="27" t="s">
        <v>113</v>
      </c>
      <c r="M146" s="27" t="s">
        <v>39</v>
      </c>
      <c r="N146" s="107">
        <v>64</v>
      </c>
      <c r="O146" s="107"/>
      <c r="P146" s="118" t="str">
        <f>LEFT(VLOOKUP(Ruimtestaat[[#This Row],[Ruimte code]],Ruimtegroepen[#All],4,1),2)</f>
        <v xml:space="preserve">B </v>
      </c>
      <c r="Q146" s="118"/>
      <c r="R146" s="108">
        <v>42</v>
      </c>
      <c r="S146" s="109" t="s">
        <v>15</v>
      </c>
      <c r="T146" s="110">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46" s="110">
        <f>IF(T146&gt;0,VLOOKUP($J146,Ruimtegroepen[],3,FALSE)*VLOOKUP($L146,Vloersoorten[],3,FALSE)*VLOOKUP($S146,Frequenties[],3,FALSE)*VLOOKUP($A146,Locaties[],3,FALSE),0)</f>
        <v>0</v>
      </c>
      <c r="V146" s="111">
        <f>Ruimtestaat[[#This Row],[Uitvoeringen werkdagen]]*Ruimtestaat[[#This Row],[Oppervlak (netto)]]</f>
        <v>2688</v>
      </c>
      <c r="W146" s="112">
        <f>IF(U146&gt;0,Ruimtestaat[[#This Row],[Prest. (m2 /jaar) werkdagen]]/Ruimtestaat[[#This Row],[Norm (m2/uur) werkdagen]],0)</f>
        <v>0</v>
      </c>
      <c r="X146" s="113">
        <f>Ruimtestaat[[#This Row],[uren / jaar werkdagen]]*Tariefsopbouw!$E$35</f>
        <v>0</v>
      </c>
      <c r="Y146" s="110"/>
      <c r="Z146" s="114">
        <f>IF(Ruimtestaat[[#This Row],[Frequentie weekend]]&gt;0,VALUE(LEFT(Y146,1))*R146,0)</f>
        <v>0</v>
      </c>
      <c r="AA146" s="110">
        <f>IF($Z146&gt;0,VLOOKUP($J146,Ruimtegroepen[],3,FALSE)*VLOOKUP($L146,Vloersoorten[],3,FALSE)*VLOOKUP($Y146,Frequenties[],3,FALSE)*VLOOKUP($A117,Locaties[],3,FALSE),0)</f>
        <v>0</v>
      </c>
      <c r="AB146" s="112">
        <f>Ruimtestaat[[#This Row],[Uitvoeringen weekend]]*Ruimtestaat[[#This Row],[Oppervlak (netto)]]</f>
        <v>0</v>
      </c>
      <c r="AC146" s="115">
        <f>IF(AB146&gt;0,Ruimtestaat[[#This Row],[Prest. (m2 /jaar) weekend]]/Ruimtestaat[[#This Row],[Norm (m2/uur) weekend]],0)</f>
        <v>0</v>
      </c>
      <c r="AD146" s="116">
        <f>Ruimtestaat[[#This Row],[uren / jaar weekend]]*Tariefsopbouw!$D$40</f>
        <v>0</v>
      </c>
      <c r="AE146" s="82">
        <f>Ruimtestaat[[#This Row],[Prest. (m2 /jaar) weekend]]+Ruimtestaat[[#This Row],[Prest. (m2 /jaar) werkdagen]]</f>
        <v>2688</v>
      </c>
      <c r="AF146" s="82">
        <f>Ruimtestaat[[#This Row],[uren / jaar weekend]]+Ruimtestaat[[#This Row],[uren / jaar werkdagen]]</f>
        <v>0</v>
      </c>
      <c r="AG146" s="83">
        <f>Ruimtestaat[[#This Row],[kosten / jaar weekend]]+Ruimtestaat[[#This Row],[kosten / jaar werkdagen]]</f>
        <v>0</v>
      </c>
      <c r="AH146" s="117"/>
      <c r="HL146" s="87"/>
    </row>
    <row r="147" spans="1:220" ht="15" customHeight="1">
      <c r="A147" s="136">
        <v>1</v>
      </c>
      <c r="B147" s="27" t="str">
        <f>VLOOKUP(Ruimtestaat[[#This Row],[Code]],Locaties[#All],2,FALSE)</f>
        <v>Amstelveen College</v>
      </c>
      <c r="C147" s="27" t="str">
        <f>VLOOKUP(Ruimtestaat[[#This Row],[Code]],Locaties[#All],4,FALSE)</f>
        <v>Sportlaan 27</v>
      </c>
      <c r="D147" s="27" t="str">
        <f>VLOOKUP(Ruimtestaat[[#This Row],[Code]],Locaties[#All],5,FALSE)</f>
        <v>1185 TB</v>
      </c>
      <c r="E147" s="27" t="str">
        <f>VLOOKUP(Ruimtestaat[[#This Row],[Code]],Locaties[#All],6,FALSE)</f>
        <v>Amstelveen</v>
      </c>
      <c r="F147" s="74"/>
      <c r="G147" s="27" t="s">
        <v>272</v>
      </c>
      <c r="H147" s="35">
        <v>1029</v>
      </c>
      <c r="I147" s="24" t="s">
        <v>377</v>
      </c>
      <c r="J147" s="27">
        <v>8</v>
      </c>
      <c r="K147" s="74" t="str">
        <f>VLOOKUP(J147,Ruimtegroepen[],2,FALSE)</f>
        <v>Mediatheek / OLC</v>
      </c>
      <c r="L147" s="27" t="s">
        <v>114</v>
      </c>
      <c r="M147" s="27" t="s">
        <v>139</v>
      </c>
      <c r="N147" s="107">
        <v>41</v>
      </c>
      <c r="O147" s="107"/>
      <c r="P147" s="118" t="str">
        <f>LEFT(VLOOKUP(Ruimtestaat[[#This Row],[Ruimte code]],Ruimtegroepen[#All],4,1),2)</f>
        <v xml:space="preserve">L </v>
      </c>
      <c r="Q147" s="118"/>
      <c r="R147" s="108">
        <v>40</v>
      </c>
      <c r="S147" s="109" t="s">
        <v>18</v>
      </c>
      <c r="T147" s="110">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47" s="110">
        <f>IF(T147&gt;0,VLOOKUP($J147,Ruimtegroepen[],3,FALSE)*VLOOKUP($L147,Vloersoorten[],3,FALSE)*VLOOKUP($S147,Frequenties[],3,FALSE)*VLOOKUP($A147,Locaties[],3,FALSE),0)</f>
        <v>0</v>
      </c>
      <c r="V147" s="111">
        <f>Ruimtestaat[[#This Row],[Uitvoeringen werkdagen]]*Ruimtestaat[[#This Row],[Oppervlak (netto)]]</f>
        <v>4920</v>
      </c>
      <c r="W147" s="112">
        <f>IF(U147&gt;0,Ruimtestaat[[#This Row],[Prest. (m2 /jaar) werkdagen]]/Ruimtestaat[[#This Row],[Norm (m2/uur) werkdagen]],0)</f>
        <v>0</v>
      </c>
      <c r="X147" s="113">
        <f>Ruimtestaat[[#This Row],[uren / jaar werkdagen]]*Tariefsopbouw!$E$35</f>
        <v>0</v>
      </c>
      <c r="Y147" s="110"/>
      <c r="Z147" s="114">
        <f>IF(Ruimtestaat[[#This Row],[Frequentie weekend]]&gt;0,VALUE(LEFT(Y147,1))*R147,0)</f>
        <v>0</v>
      </c>
      <c r="AA147" s="110">
        <f>IF($Z147&gt;0,VLOOKUP($J147,Ruimtegroepen[],3,FALSE)*VLOOKUP($L147,Vloersoorten[],3,FALSE)*VLOOKUP($Y147,Frequenties[],3,FALSE)*VLOOKUP($A118,Locaties[],3,FALSE),0)</f>
        <v>0</v>
      </c>
      <c r="AB147" s="112">
        <f>Ruimtestaat[[#This Row],[Uitvoeringen weekend]]*Ruimtestaat[[#This Row],[Oppervlak (netto)]]</f>
        <v>0</v>
      </c>
      <c r="AC147" s="115">
        <f>IF(AB147&gt;0,Ruimtestaat[[#This Row],[Prest. (m2 /jaar) weekend]]/Ruimtestaat[[#This Row],[Norm (m2/uur) weekend]],0)</f>
        <v>0</v>
      </c>
      <c r="AD147" s="116">
        <f>Ruimtestaat[[#This Row],[uren / jaar weekend]]*Tariefsopbouw!$D$40</f>
        <v>0</v>
      </c>
      <c r="AE147" s="82">
        <f>Ruimtestaat[[#This Row],[Prest. (m2 /jaar) weekend]]+Ruimtestaat[[#This Row],[Prest. (m2 /jaar) werkdagen]]</f>
        <v>4920</v>
      </c>
      <c r="AF147" s="82">
        <f>Ruimtestaat[[#This Row],[uren / jaar weekend]]+Ruimtestaat[[#This Row],[uren / jaar werkdagen]]</f>
        <v>0</v>
      </c>
      <c r="AG147" s="83">
        <f>Ruimtestaat[[#This Row],[kosten / jaar weekend]]+Ruimtestaat[[#This Row],[kosten / jaar werkdagen]]</f>
        <v>0</v>
      </c>
      <c r="AH147" s="117"/>
      <c r="HL147" s="87"/>
    </row>
    <row r="148" spans="1:220" ht="15" customHeight="1">
      <c r="A148" s="136">
        <v>1</v>
      </c>
      <c r="B148" s="27" t="str">
        <f>VLOOKUP(Ruimtestaat[[#This Row],[Code]],Locaties[#All],2,FALSE)</f>
        <v>Amstelveen College</v>
      </c>
      <c r="C148" s="27" t="str">
        <f>VLOOKUP(Ruimtestaat[[#This Row],[Code]],Locaties[#All],4,FALSE)</f>
        <v>Sportlaan 27</v>
      </c>
      <c r="D148" s="27" t="str">
        <f>VLOOKUP(Ruimtestaat[[#This Row],[Code]],Locaties[#All],5,FALSE)</f>
        <v>1185 TB</v>
      </c>
      <c r="E148" s="27" t="str">
        <f>VLOOKUP(Ruimtestaat[[#This Row],[Code]],Locaties[#All],6,FALSE)</f>
        <v>Amstelveen</v>
      </c>
      <c r="F148" s="74"/>
      <c r="G148" s="27" t="s">
        <v>272</v>
      </c>
      <c r="H148" s="35">
        <v>1020</v>
      </c>
      <c r="I148" s="24" t="s">
        <v>453</v>
      </c>
      <c r="J148" s="27">
        <v>6</v>
      </c>
      <c r="K148" s="74" t="str">
        <f>VLOOKUP(J148,Ruimtegroepen[],2,FALSE)</f>
        <v>Gangen/hallen</v>
      </c>
      <c r="L148" s="27" t="s">
        <v>114</v>
      </c>
      <c r="M148" s="27" t="s">
        <v>139</v>
      </c>
      <c r="N148" s="107">
        <v>19</v>
      </c>
      <c r="O148" s="107"/>
      <c r="P148" s="118" t="str">
        <f>LEFT(VLOOKUP(Ruimtestaat[[#This Row],[Ruimte code]],Ruimtegroepen[#All],4,1),2)</f>
        <v xml:space="preserve">V </v>
      </c>
      <c r="Q148" s="118"/>
      <c r="R148" s="108">
        <v>42</v>
      </c>
      <c r="S148" s="109" t="s">
        <v>2</v>
      </c>
      <c r="T148" s="110">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48" s="110">
        <f>IF(T148&gt;0,VLOOKUP($J148,Ruimtegroepen[],3,FALSE)*VLOOKUP($L148,Vloersoorten[],3,FALSE)*VLOOKUP($S148,Frequenties[],3,FALSE)*VLOOKUP($A148,Locaties[],3,FALSE),0)</f>
        <v>0</v>
      </c>
      <c r="V148" s="111">
        <f>Ruimtestaat[[#This Row],[Uitvoeringen werkdagen]]*Ruimtestaat[[#This Row],[Oppervlak (netto)]]</f>
        <v>3990</v>
      </c>
      <c r="W148" s="112">
        <f>IF(U148&gt;0,Ruimtestaat[[#This Row],[Prest. (m2 /jaar) werkdagen]]/Ruimtestaat[[#This Row],[Norm (m2/uur) werkdagen]],0)</f>
        <v>0</v>
      </c>
      <c r="X148" s="113">
        <f>Ruimtestaat[[#This Row],[uren / jaar werkdagen]]*Tariefsopbouw!$E$35</f>
        <v>0</v>
      </c>
      <c r="Y148" s="110"/>
      <c r="Z148" s="114">
        <f>IF(Ruimtestaat[[#This Row],[Frequentie weekend]]&gt;0,VALUE(LEFT(Y148,1))*R148,0)</f>
        <v>0</v>
      </c>
      <c r="AA148" s="110">
        <f>IF($Z148&gt;0,VLOOKUP($J148,Ruimtegroepen[],3,FALSE)*VLOOKUP($L148,Vloersoorten[],3,FALSE)*VLOOKUP($Y148,Frequenties[],3,FALSE)*VLOOKUP($A119,Locaties[],3,FALSE),0)</f>
        <v>0</v>
      </c>
      <c r="AB148" s="112">
        <f>Ruimtestaat[[#This Row],[Uitvoeringen weekend]]*Ruimtestaat[[#This Row],[Oppervlak (netto)]]</f>
        <v>0</v>
      </c>
      <c r="AC148" s="115">
        <f>IF(AB148&gt;0,Ruimtestaat[[#This Row],[Prest. (m2 /jaar) weekend]]/Ruimtestaat[[#This Row],[Norm (m2/uur) weekend]],0)</f>
        <v>0</v>
      </c>
      <c r="AD148" s="116">
        <f>Ruimtestaat[[#This Row],[uren / jaar weekend]]*Tariefsopbouw!$D$40</f>
        <v>0</v>
      </c>
      <c r="AE148" s="82">
        <f>Ruimtestaat[[#This Row],[Prest. (m2 /jaar) weekend]]+Ruimtestaat[[#This Row],[Prest. (m2 /jaar) werkdagen]]</f>
        <v>3990</v>
      </c>
      <c r="AF148" s="82">
        <f>Ruimtestaat[[#This Row],[uren / jaar weekend]]+Ruimtestaat[[#This Row],[uren / jaar werkdagen]]</f>
        <v>0</v>
      </c>
      <c r="AG148" s="83">
        <f>Ruimtestaat[[#This Row],[kosten / jaar weekend]]+Ruimtestaat[[#This Row],[kosten / jaar werkdagen]]</f>
        <v>0</v>
      </c>
      <c r="AH148" s="117"/>
      <c r="HL148" s="87"/>
    </row>
    <row r="149" spans="1:220" ht="15" customHeight="1">
      <c r="A149" s="136">
        <v>1</v>
      </c>
      <c r="B149" s="27" t="str">
        <f>VLOOKUP(Ruimtestaat[[#This Row],[Code]],Locaties[#All],2,FALSE)</f>
        <v>Amstelveen College</v>
      </c>
      <c r="C149" s="27" t="str">
        <f>VLOOKUP(Ruimtestaat[[#This Row],[Code]],Locaties[#All],4,FALSE)</f>
        <v>Sportlaan 27</v>
      </c>
      <c r="D149" s="27" t="str">
        <f>VLOOKUP(Ruimtestaat[[#This Row],[Code]],Locaties[#All],5,FALSE)</f>
        <v>1185 TB</v>
      </c>
      <c r="E149" s="27" t="str">
        <f>VLOOKUP(Ruimtestaat[[#This Row],[Code]],Locaties[#All],6,FALSE)</f>
        <v>Amstelveen</v>
      </c>
      <c r="F149" s="74"/>
      <c r="G149" s="27" t="s">
        <v>272</v>
      </c>
      <c r="H149" s="35">
        <v>1052</v>
      </c>
      <c r="I149" s="24" t="s">
        <v>546</v>
      </c>
      <c r="J149" s="27">
        <v>2</v>
      </c>
      <c r="K149" s="74" t="str">
        <f>VLOOKUP(J149,Ruimtegroepen[],2,FALSE)</f>
        <v>Kantoren</v>
      </c>
      <c r="L149" s="27" t="s">
        <v>113</v>
      </c>
      <c r="M149" s="27" t="s">
        <v>39</v>
      </c>
      <c r="N149" s="107">
        <v>33</v>
      </c>
      <c r="O149" s="107"/>
      <c r="P149" s="118" t="str">
        <f>LEFT(VLOOKUP(Ruimtestaat[[#This Row],[Ruimte code]],Ruimtegroepen[#All],4,1),2)</f>
        <v xml:space="preserve">B </v>
      </c>
      <c r="Q149" s="118"/>
      <c r="R149" s="108">
        <v>42</v>
      </c>
      <c r="S149" s="109" t="s">
        <v>15</v>
      </c>
      <c r="T149" s="110">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49" s="110">
        <f>IF(T149&gt;0,VLOOKUP($J149,Ruimtegroepen[],3,FALSE)*VLOOKUP($L149,Vloersoorten[],3,FALSE)*VLOOKUP($S149,Frequenties[],3,FALSE)*VLOOKUP($A149,Locaties[],3,FALSE),0)</f>
        <v>0</v>
      </c>
      <c r="V149" s="111">
        <f>Ruimtestaat[[#This Row],[Uitvoeringen werkdagen]]*Ruimtestaat[[#This Row],[Oppervlak (netto)]]</f>
        <v>1386</v>
      </c>
      <c r="W149" s="112">
        <f>IF(U149&gt;0,Ruimtestaat[[#This Row],[Prest. (m2 /jaar) werkdagen]]/Ruimtestaat[[#This Row],[Norm (m2/uur) werkdagen]],0)</f>
        <v>0</v>
      </c>
      <c r="X149" s="113">
        <f>Ruimtestaat[[#This Row],[uren / jaar werkdagen]]*Tariefsopbouw!$E$35</f>
        <v>0</v>
      </c>
      <c r="Y149" s="110"/>
      <c r="Z149" s="114">
        <f>IF(Ruimtestaat[[#This Row],[Frequentie weekend]]&gt;0,VALUE(LEFT(Y149,1))*R149,0)</f>
        <v>0</v>
      </c>
      <c r="AA149" s="110">
        <f>IF($Z149&gt;0,VLOOKUP($J149,Ruimtegroepen[],3,FALSE)*VLOOKUP($L149,Vloersoorten[],3,FALSE)*VLOOKUP($Y149,Frequenties[],3,FALSE)*VLOOKUP($A120,Locaties[],3,FALSE),0)</f>
        <v>0</v>
      </c>
      <c r="AB149" s="112">
        <f>Ruimtestaat[[#This Row],[Uitvoeringen weekend]]*Ruimtestaat[[#This Row],[Oppervlak (netto)]]</f>
        <v>0</v>
      </c>
      <c r="AC149" s="115">
        <f>IF(AB149&gt;0,Ruimtestaat[[#This Row],[Prest. (m2 /jaar) weekend]]/Ruimtestaat[[#This Row],[Norm (m2/uur) weekend]],0)</f>
        <v>0</v>
      </c>
      <c r="AD149" s="116">
        <f>Ruimtestaat[[#This Row],[uren / jaar weekend]]*Tariefsopbouw!$D$40</f>
        <v>0</v>
      </c>
      <c r="AE149" s="82">
        <f>Ruimtestaat[[#This Row],[Prest. (m2 /jaar) weekend]]+Ruimtestaat[[#This Row],[Prest. (m2 /jaar) werkdagen]]</f>
        <v>1386</v>
      </c>
      <c r="AF149" s="82">
        <f>Ruimtestaat[[#This Row],[uren / jaar weekend]]+Ruimtestaat[[#This Row],[uren / jaar werkdagen]]</f>
        <v>0</v>
      </c>
      <c r="AG149" s="83">
        <f>Ruimtestaat[[#This Row],[kosten / jaar weekend]]+Ruimtestaat[[#This Row],[kosten / jaar werkdagen]]</f>
        <v>0</v>
      </c>
      <c r="AH149" s="117"/>
      <c r="HL149" s="87"/>
    </row>
    <row r="150" spans="1:220" ht="15" customHeight="1">
      <c r="A150" s="136">
        <v>1</v>
      </c>
      <c r="B150" s="27" t="str">
        <f>VLOOKUP(Ruimtestaat[[#This Row],[Code]],Locaties[#All],2,FALSE)</f>
        <v>Amstelveen College</v>
      </c>
      <c r="C150" s="27" t="str">
        <f>VLOOKUP(Ruimtestaat[[#This Row],[Code]],Locaties[#All],4,FALSE)</f>
        <v>Sportlaan 27</v>
      </c>
      <c r="D150" s="27" t="str">
        <f>VLOOKUP(Ruimtestaat[[#This Row],[Code]],Locaties[#All],5,FALSE)</f>
        <v>1185 TB</v>
      </c>
      <c r="E150" s="27" t="str">
        <f>VLOOKUP(Ruimtestaat[[#This Row],[Code]],Locaties[#All],6,FALSE)</f>
        <v>Amstelveen</v>
      </c>
      <c r="F150" s="74"/>
      <c r="G150" s="27" t="s">
        <v>272</v>
      </c>
      <c r="H150" s="35">
        <v>1053</v>
      </c>
      <c r="I150" s="24" t="s">
        <v>547</v>
      </c>
      <c r="J150" s="27">
        <v>2</v>
      </c>
      <c r="K150" s="74" t="str">
        <f>VLOOKUP(J150,Ruimtegroepen[],2,FALSE)</f>
        <v>Kantoren</v>
      </c>
      <c r="L150" s="27" t="s">
        <v>113</v>
      </c>
      <c r="M150" s="27" t="s">
        <v>39</v>
      </c>
      <c r="N150" s="107">
        <v>20</v>
      </c>
      <c r="O150" s="107"/>
      <c r="P150" s="118" t="str">
        <f>LEFT(VLOOKUP(Ruimtestaat[[#This Row],[Ruimte code]],Ruimtegroepen[#All],4,1),2)</f>
        <v xml:space="preserve">B </v>
      </c>
      <c r="Q150" s="118"/>
      <c r="R150" s="108">
        <v>42</v>
      </c>
      <c r="S150" s="109" t="s">
        <v>15</v>
      </c>
      <c r="T150" s="110">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50" s="110">
        <f>IF(T150&gt;0,VLOOKUP($J150,Ruimtegroepen[],3,FALSE)*VLOOKUP($L150,Vloersoorten[],3,FALSE)*VLOOKUP($S150,Frequenties[],3,FALSE)*VLOOKUP($A150,Locaties[],3,FALSE),0)</f>
        <v>0</v>
      </c>
      <c r="V150" s="111">
        <f>Ruimtestaat[[#This Row],[Uitvoeringen werkdagen]]*Ruimtestaat[[#This Row],[Oppervlak (netto)]]</f>
        <v>840</v>
      </c>
      <c r="W150" s="112">
        <f>IF(U150&gt;0,Ruimtestaat[[#This Row],[Prest. (m2 /jaar) werkdagen]]/Ruimtestaat[[#This Row],[Norm (m2/uur) werkdagen]],0)</f>
        <v>0</v>
      </c>
      <c r="X150" s="113">
        <f>Ruimtestaat[[#This Row],[uren / jaar werkdagen]]*Tariefsopbouw!$E$35</f>
        <v>0</v>
      </c>
      <c r="Y150" s="110"/>
      <c r="Z150" s="114">
        <f>IF(Ruimtestaat[[#This Row],[Frequentie weekend]]&gt;0,VALUE(LEFT(Y150,1))*R150,0)</f>
        <v>0</v>
      </c>
      <c r="AA150" s="110">
        <f>IF($Z150&gt;0,VLOOKUP($J150,Ruimtegroepen[],3,FALSE)*VLOOKUP($L150,Vloersoorten[],3,FALSE)*VLOOKUP($Y150,Frequenties[],3,FALSE)*VLOOKUP($A121,Locaties[],3,FALSE),0)</f>
        <v>0</v>
      </c>
      <c r="AB150" s="112">
        <f>Ruimtestaat[[#This Row],[Uitvoeringen weekend]]*Ruimtestaat[[#This Row],[Oppervlak (netto)]]</f>
        <v>0</v>
      </c>
      <c r="AC150" s="115">
        <f>IF(AB150&gt;0,Ruimtestaat[[#This Row],[Prest. (m2 /jaar) weekend]]/Ruimtestaat[[#This Row],[Norm (m2/uur) weekend]],0)</f>
        <v>0</v>
      </c>
      <c r="AD150" s="116">
        <f>Ruimtestaat[[#This Row],[uren / jaar weekend]]*Tariefsopbouw!$D$40</f>
        <v>0</v>
      </c>
      <c r="AE150" s="82">
        <f>Ruimtestaat[[#This Row],[Prest. (m2 /jaar) weekend]]+Ruimtestaat[[#This Row],[Prest. (m2 /jaar) werkdagen]]</f>
        <v>840</v>
      </c>
      <c r="AF150" s="82">
        <f>Ruimtestaat[[#This Row],[uren / jaar weekend]]+Ruimtestaat[[#This Row],[uren / jaar werkdagen]]</f>
        <v>0</v>
      </c>
      <c r="AG150" s="83">
        <f>Ruimtestaat[[#This Row],[kosten / jaar weekend]]+Ruimtestaat[[#This Row],[kosten / jaar werkdagen]]</f>
        <v>0</v>
      </c>
      <c r="AH150" s="117"/>
      <c r="HL150" s="87"/>
    </row>
    <row r="151" spans="1:220" ht="15" customHeight="1">
      <c r="A151" s="136">
        <v>1</v>
      </c>
      <c r="B151" s="27" t="str">
        <f>VLOOKUP(Ruimtestaat[[#This Row],[Code]],Locaties[#All],2,FALSE)</f>
        <v>Amstelveen College</v>
      </c>
      <c r="C151" s="27" t="str">
        <f>VLOOKUP(Ruimtestaat[[#This Row],[Code]],Locaties[#All],4,FALSE)</f>
        <v>Sportlaan 27</v>
      </c>
      <c r="D151" s="27" t="str">
        <f>VLOOKUP(Ruimtestaat[[#This Row],[Code]],Locaties[#All],5,FALSE)</f>
        <v>1185 TB</v>
      </c>
      <c r="E151" s="27" t="str">
        <f>VLOOKUP(Ruimtestaat[[#This Row],[Code]],Locaties[#All],6,FALSE)</f>
        <v>Amstelveen</v>
      </c>
      <c r="F151" s="74"/>
      <c r="G151" s="27" t="s">
        <v>272</v>
      </c>
      <c r="H151" s="35">
        <v>1046</v>
      </c>
      <c r="I151" s="24" t="s">
        <v>548</v>
      </c>
      <c r="J151" s="27">
        <v>4</v>
      </c>
      <c r="K151" s="74" t="str">
        <f>VLOOKUP(J151,Ruimtegroepen[],2,FALSE)</f>
        <v>Vergader/spreekkamers</v>
      </c>
      <c r="L151" s="27" t="s">
        <v>113</v>
      </c>
      <c r="M151" s="27" t="s">
        <v>39</v>
      </c>
      <c r="N151" s="107">
        <v>30</v>
      </c>
      <c r="O151" s="107"/>
      <c r="P151" s="118" t="str">
        <f>LEFT(VLOOKUP(Ruimtestaat[[#This Row],[Ruimte code]],Ruimtegroepen[#All],4,1),2)</f>
        <v xml:space="preserve">B </v>
      </c>
      <c r="Q151" s="118"/>
      <c r="R151" s="108">
        <v>40</v>
      </c>
      <c r="S151" s="109" t="s">
        <v>15</v>
      </c>
      <c r="T151" s="110">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1" s="110">
        <f>IF(T151&gt;0,VLOOKUP($J151,Ruimtegroepen[],3,FALSE)*VLOOKUP($L151,Vloersoorten[],3,FALSE)*VLOOKUP($S151,Frequenties[],3,FALSE)*VLOOKUP($A151,Locaties[],3,FALSE),0)</f>
        <v>0</v>
      </c>
      <c r="V151" s="111">
        <f>Ruimtestaat[[#This Row],[Uitvoeringen werkdagen]]*Ruimtestaat[[#This Row],[Oppervlak (netto)]]</f>
        <v>1200</v>
      </c>
      <c r="W151" s="112">
        <f>IF(U151&gt;0,Ruimtestaat[[#This Row],[Prest. (m2 /jaar) werkdagen]]/Ruimtestaat[[#This Row],[Norm (m2/uur) werkdagen]],0)</f>
        <v>0</v>
      </c>
      <c r="X151" s="113">
        <f>Ruimtestaat[[#This Row],[uren / jaar werkdagen]]*Tariefsopbouw!$E$35</f>
        <v>0</v>
      </c>
      <c r="Y151" s="110"/>
      <c r="Z151" s="114">
        <f>IF(Ruimtestaat[[#This Row],[Frequentie weekend]]&gt;0,VALUE(LEFT(Y151,1))*R151,0)</f>
        <v>0</v>
      </c>
      <c r="AA151" s="110">
        <f>IF($Z151&gt;0,VLOOKUP($J151,Ruimtegroepen[],3,FALSE)*VLOOKUP($L151,Vloersoorten[],3,FALSE)*VLOOKUP($Y151,Frequenties[],3,FALSE)*VLOOKUP($A122,Locaties[],3,FALSE),0)</f>
        <v>0</v>
      </c>
      <c r="AB151" s="112">
        <f>Ruimtestaat[[#This Row],[Uitvoeringen weekend]]*Ruimtestaat[[#This Row],[Oppervlak (netto)]]</f>
        <v>0</v>
      </c>
      <c r="AC151" s="115">
        <f>IF(AB151&gt;0,Ruimtestaat[[#This Row],[Prest. (m2 /jaar) weekend]]/Ruimtestaat[[#This Row],[Norm (m2/uur) weekend]],0)</f>
        <v>0</v>
      </c>
      <c r="AD151" s="116">
        <f>Ruimtestaat[[#This Row],[uren / jaar weekend]]*Tariefsopbouw!$D$40</f>
        <v>0</v>
      </c>
      <c r="AE151" s="82">
        <f>Ruimtestaat[[#This Row],[Prest. (m2 /jaar) weekend]]+Ruimtestaat[[#This Row],[Prest. (m2 /jaar) werkdagen]]</f>
        <v>1200</v>
      </c>
      <c r="AF151" s="82">
        <f>Ruimtestaat[[#This Row],[uren / jaar weekend]]+Ruimtestaat[[#This Row],[uren / jaar werkdagen]]</f>
        <v>0</v>
      </c>
      <c r="AG151" s="83">
        <f>Ruimtestaat[[#This Row],[kosten / jaar weekend]]+Ruimtestaat[[#This Row],[kosten / jaar werkdagen]]</f>
        <v>0</v>
      </c>
      <c r="AH151" s="117"/>
      <c r="HL151" s="87"/>
    </row>
    <row r="152" spans="1:220" ht="15" customHeight="1">
      <c r="A152" s="136">
        <v>1</v>
      </c>
      <c r="B152" s="27" t="str">
        <f>VLOOKUP(Ruimtestaat[[#This Row],[Code]],Locaties[#All],2,FALSE)</f>
        <v>Amstelveen College</v>
      </c>
      <c r="C152" s="27" t="str">
        <f>VLOOKUP(Ruimtestaat[[#This Row],[Code]],Locaties[#All],4,FALSE)</f>
        <v>Sportlaan 27</v>
      </c>
      <c r="D152" s="27" t="str">
        <f>VLOOKUP(Ruimtestaat[[#This Row],[Code]],Locaties[#All],5,FALSE)</f>
        <v>1185 TB</v>
      </c>
      <c r="E152" s="27" t="str">
        <f>VLOOKUP(Ruimtestaat[[#This Row],[Code]],Locaties[#All],6,FALSE)</f>
        <v>Amstelveen</v>
      </c>
      <c r="F152" s="74"/>
      <c r="G152" s="27" t="s">
        <v>272</v>
      </c>
      <c r="H152" s="35">
        <v>1030</v>
      </c>
      <c r="I152" s="24" t="s">
        <v>369</v>
      </c>
      <c r="J152" s="27">
        <v>6</v>
      </c>
      <c r="K152" s="74" t="str">
        <f>VLOOKUP(J152,Ruimtegroepen[],2,FALSE)</f>
        <v>Gangen/hallen</v>
      </c>
      <c r="L152" s="27" t="s">
        <v>114</v>
      </c>
      <c r="M152" s="27" t="s">
        <v>139</v>
      </c>
      <c r="N152" s="107">
        <v>29</v>
      </c>
      <c r="O152" s="107"/>
      <c r="P152" s="118" t="str">
        <f>LEFT(VLOOKUP(Ruimtestaat[[#This Row],[Ruimte code]],Ruimtegroepen[#All],4,1),2)</f>
        <v xml:space="preserve">V </v>
      </c>
      <c r="Q152" s="118"/>
      <c r="R152" s="108">
        <v>42</v>
      </c>
      <c r="S152" s="109" t="s">
        <v>2</v>
      </c>
      <c r="T152" s="110">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52" s="110">
        <f>IF(T152&gt;0,VLOOKUP($J152,Ruimtegroepen[],3,FALSE)*VLOOKUP($L152,Vloersoorten[],3,FALSE)*VLOOKUP($S152,Frequenties[],3,FALSE)*VLOOKUP($A152,Locaties[],3,FALSE),0)</f>
        <v>0</v>
      </c>
      <c r="V152" s="111">
        <f>Ruimtestaat[[#This Row],[Uitvoeringen werkdagen]]*Ruimtestaat[[#This Row],[Oppervlak (netto)]]</f>
        <v>6090</v>
      </c>
      <c r="W152" s="112">
        <f>IF(U152&gt;0,Ruimtestaat[[#This Row],[Prest. (m2 /jaar) werkdagen]]/Ruimtestaat[[#This Row],[Norm (m2/uur) werkdagen]],0)</f>
        <v>0</v>
      </c>
      <c r="X152" s="113">
        <f>Ruimtestaat[[#This Row],[uren / jaar werkdagen]]*Tariefsopbouw!$E$35</f>
        <v>0</v>
      </c>
      <c r="Y152" s="110"/>
      <c r="Z152" s="114">
        <f>IF(Ruimtestaat[[#This Row],[Frequentie weekend]]&gt;0,VALUE(LEFT(Y152,1))*R152,0)</f>
        <v>0</v>
      </c>
      <c r="AA152" s="110">
        <f>IF($Z152&gt;0,VLOOKUP($J152,Ruimtegroepen[],3,FALSE)*VLOOKUP($L152,Vloersoorten[],3,FALSE)*VLOOKUP($Y152,Frequenties[],3,FALSE)*VLOOKUP($A123,Locaties[],3,FALSE),0)</f>
        <v>0</v>
      </c>
      <c r="AB152" s="112">
        <f>Ruimtestaat[[#This Row],[Uitvoeringen weekend]]*Ruimtestaat[[#This Row],[Oppervlak (netto)]]</f>
        <v>0</v>
      </c>
      <c r="AC152" s="115">
        <f>IF(AB152&gt;0,Ruimtestaat[[#This Row],[Prest. (m2 /jaar) weekend]]/Ruimtestaat[[#This Row],[Norm (m2/uur) weekend]],0)</f>
        <v>0</v>
      </c>
      <c r="AD152" s="116">
        <f>Ruimtestaat[[#This Row],[uren / jaar weekend]]*Tariefsopbouw!$D$40</f>
        <v>0</v>
      </c>
      <c r="AE152" s="82">
        <f>Ruimtestaat[[#This Row],[Prest. (m2 /jaar) weekend]]+Ruimtestaat[[#This Row],[Prest. (m2 /jaar) werkdagen]]</f>
        <v>6090</v>
      </c>
      <c r="AF152" s="82">
        <f>Ruimtestaat[[#This Row],[uren / jaar weekend]]+Ruimtestaat[[#This Row],[uren / jaar werkdagen]]</f>
        <v>0</v>
      </c>
      <c r="AG152" s="83">
        <f>Ruimtestaat[[#This Row],[kosten / jaar weekend]]+Ruimtestaat[[#This Row],[kosten / jaar werkdagen]]</f>
        <v>0</v>
      </c>
      <c r="AH152" s="117"/>
      <c r="HL152" s="87"/>
    </row>
    <row r="153" spans="1:220" ht="15" customHeight="1">
      <c r="A153" s="136">
        <v>1</v>
      </c>
      <c r="B153" s="27" t="str">
        <f>VLOOKUP(Ruimtestaat[[#This Row],[Code]],Locaties[#All],2,FALSE)</f>
        <v>Amstelveen College</v>
      </c>
      <c r="C153" s="27" t="str">
        <f>VLOOKUP(Ruimtestaat[[#This Row],[Code]],Locaties[#All],4,FALSE)</f>
        <v>Sportlaan 27</v>
      </c>
      <c r="D153" s="27" t="str">
        <f>VLOOKUP(Ruimtestaat[[#This Row],[Code]],Locaties[#All],5,FALSE)</f>
        <v>1185 TB</v>
      </c>
      <c r="E153" s="27" t="str">
        <f>VLOOKUP(Ruimtestaat[[#This Row],[Code]],Locaties[#All],6,FALSE)</f>
        <v>Amstelveen</v>
      </c>
      <c r="F153" s="74"/>
      <c r="G153" s="27" t="s">
        <v>272</v>
      </c>
      <c r="H153" s="35">
        <v>1032</v>
      </c>
      <c r="I153" s="24" t="s">
        <v>465</v>
      </c>
      <c r="J153" s="27">
        <v>5</v>
      </c>
      <c r="K153" s="74" t="str">
        <f>VLOOKUP(J153,Ruimtegroepen[],2,FALSE)</f>
        <v>Sanitair</v>
      </c>
      <c r="L153" s="27" t="s">
        <v>115</v>
      </c>
      <c r="M153" s="27" t="s">
        <v>271</v>
      </c>
      <c r="N153" s="107">
        <v>9</v>
      </c>
      <c r="O153" s="107"/>
      <c r="P153" s="118" t="str">
        <f>LEFT(VLOOKUP(Ruimtestaat[[#This Row],[Ruimte code]],Ruimtegroepen[#All],4,1),2)</f>
        <v xml:space="preserve">S </v>
      </c>
      <c r="Q153" s="118"/>
      <c r="R153" s="108">
        <v>42</v>
      </c>
      <c r="S153" s="109" t="s">
        <v>19</v>
      </c>
      <c r="T153" s="110">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53" s="110">
        <f>IF(T153&gt;0,VLOOKUP($J153,Ruimtegroepen[],3,FALSE)*VLOOKUP($L153,Vloersoorten[],3,FALSE)*VLOOKUP($S153,Frequenties[],3,FALSE)*VLOOKUP($A153,Locaties[],3,FALSE),0)</f>
        <v>0</v>
      </c>
      <c r="V153" s="111">
        <f>Ruimtestaat[[#This Row],[Uitvoeringen werkdagen]]*Ruimtestaat[[#This Row],[Oppervlak (netto)]]</f>
        <v>3780</v>
      </c>
      <c r="W153" s="112">
        <f>IF(U153&gt;0,Ruimtestaat[[#This Row],[Prest. (m2 /jaar) werkdagen]]/Ruimtestaat[[#This Row],[Norm (m2/uur) werkdagen]],0)</f>
        <v>0</v>
      </c>
      <c r="X153" s="113">
        <f>Ruimtestaat[[#This Row],[uren / jaar werkdagen]]*Tariefsopbouw!$E$35</f>
        <v>0</v>
      </c>
      <c r="Y153" s="110"/>
      <c r="Z153" s="114">
        <f>IF(Ruimtestaat[[#This Row],[Frequentie weekend]]&gt;0,VALUE(LEFT(Y153,1))*R153,0)</f>
        <v>0</v>
      </c>
      <c r="AA153" s="110">
        <f>IF($Z153&gt;0,VLOOKUP($J153,Ruimtegroepen[],3,FALSE)*VLOOKUP($L153,Vloersoorten[],3,FALSE)*VLOOKUP($Y153,Frequenties[],3,FALSE)*VLOOKUP($A124,Locaties[],3,FALSE),0)</f>
        <v>0</v>
      </c>
      <c r="AB153" s="112">
        <f>Ruimtestaat[[#This Row],[Uitvoeringen weekend]]*Ruimtestaat[[#This Row],[Oppervlak (netto)]]</f>
        <v>0</v>
      </c>
      <c r="AC153" s="115">
        <f>IF(AB153&gt;0,Ruimtestaat[[#This Row],[Prest. (m2 /jaar) weekend]]/Ruimtestaat[[#This Row],[Norm (m2/uur) weekend]],0)</f>
        <v>0</v>
      </c>
      <c r="AD153" s="116">
        <f>Ruimtestaat[[#This Row],[uren / jaar weekend]]*Tariefsopbouw!$D$40</f>
        <v>0</v>
      </c>
      <c r="AE153" s="82">
        <f>Ruimtestaat[[#This Row],[Prest. (m2 /jaar) weekend]]+Ruimtestaat[[#This Row],[Prest. (m2 /jaar) werkdagen]]</f>
        <v>3780</v>
      </c>
      <c r="AF153" s="82">
        <f>Ruimtestaat[[#This Row],[uren / jaar weekend]]+Ruimtestaat[[#This Row],[uren / jaar werkdagen]]</f>
        <v>0</v>
      </c>
      <c r="AG153" s="83">
        <f>Ruimtestaat[[#This Row],[kosten / jaar weekend]]+Ruimtestaat[[#This Row],[kosten / jaar werkdagen]]</f>
        <v>0</v>
      </c>
      <c r="AH153" s="117"/>
      <c r="HL153" s="87"/>
    </row>
    <row r="154" spans="1:220" ht="15" customHeight="1">
      <c r="A154" s="136">
        <v>1</v>
      </c>
      <c r="B154" s="27" t="str">
        <f>VLOOKUP(Ruimtestaat[[#This Row],[Code]],Locaties[#All],2,FALSE)</f>
        <v>Amstelveen College</v>
      </c>
      <c r="C154" s="27" t="str">
        <f>VLOOKUP(Ruimtestaat[[#This Row],[Code]],Locaties[#All],4,FALSE)</f>
        <v>Sportlaan 27</v>
      </c>
      <c r="D154" s="27" t="str">
        <f>VLOOKUP(Ruimtestaat[[#This Row],[Code]],Locaties[#All],5,FALSE)</f>
        <v>1185 TB</v>
      </c>
      <c r="E154" s="27" t="str">
        <f>VLOOKUP(Ruimtestaat[[#This Row],[Code]],Locaties[#All],6,FALSE)</f>
        <v>Amstelveen</v>
      </c>
      <c r="F154" s="74"/>
      <c r="G154" s="27" t="s">
        <v>272</v>
      </c>
      <c r="H154" s="35">
        <v>1031</v>
      </c>
      <c r="I154" s="24" t="s">
        <v>464</v>
      </c>
      <c r="J154" s="27">
        <v>5</v>
      </c>
      <c r="K154" s="74" t="str">
        <f>VLOOKUP(J154,Ruimtegroepen[],2,FALSE)</f>
        <v>Sanitair</v>
      </c>
      <c r="L154" s="27" t="s">
        <v>115</v>
      </c>
      <c r="M154" s="27" t="s">
        <v>271</v>
      </c>
      <c r="N154" s="107">
        <v>9</v>
      </c>
      <c r="O154" s="107"/>
      <c r="P154" s="118" t="str">
        <f>LEFT(VLOOKUP(Ruimtestaat[[#This Row],[Ruimte code]],Ruimtegroepen[#All],4,1),2)</f>
        <v xml:space="preserve">S </v>
      </c>
      <c r="Q154" s="118"/>
      <c r="R154" s="108">
        <v>42</v>
      </c>
      <c r="S154" s="109" t="s">
        <v>19</v>
      </c>
      <c r="T154" s="110">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54" s="110">
        <f>IF(T154&gt;0,VLOOKUP($J154,Ruimtegroepen[],3,FALSE)*VLOOKUP($L154,Vloersoorten[],3,FALSE)*VLOOKUP($S154,Frequenties[],3,FALSE)*VLOOKUP($A154,Locaties[],3,FALSE),0)</f>
        <v>0</v>
      </c>
      <c r="V154" s="111">
        <f>Ruimtestaat[[#This Row],[Uitvoeringen werkdagen]]*Ruimtestaat[[#This Row],[Oppervlak (netto)]]</f>
        <v>3780</v>
      </c>
      <c r="W154" s="112">
        <f>IF(U154&gt;0,Ruimtestaat[[#This Row],[Prest. (m2 /jaar) werkdagen]]/Ruimtestaat[[#This Row],[Norm (m2/uur) werkdagen]],0)</f>
        <v>0</v>
      </c>
      <c r="X154" s="113">
        <f>Ruimtestaat[[#This Row],[uren / jaar werkdagen]]*Tariefsopbouw!$E$35</f>
        <v>0</v>
      </c>
      <c r="Y154" s="110"/>
      <c r="Z154" s="114">
        <f>IF(Ruimtestaat[[#This Row],[Frequentie weekend]]&gt;0,VALUE(LEFT(Y154,1))*R154,0)</f>
        <v>0</v>
      </c>
      <c r="AA154" s="110">
        <f>IF($Z154&gt;0,VLOOKUP($J154,Ruimtegroepen[],3,FALSE)*VLOOKUP($L154,Vloersoorten[],3,FALSE)*VLOOKUP($Y154,Frequenties[],3,FALSE)*VLOOKUP($A125,Locaties[],3,FALSE),0)</f>
        <v>0</v>
      </c>
      <c r="AB154" s="112">
        <f>Ruimtestaat[[#This Row],[Uitvoeringen weekend]]*Ruimtestaat[[#This Row],[Oppervlak (netto)]]</f>
        <v>0</v>
      </c>
      <c r="AC154" s="115">
        <f>IF(AB154&gt;0,Ruimtestaat[[#This Row],[Prest. (m2 /jaar) weekend]]/Ruimtestaat[[#This Row],[Norm (m2/uur) weekend]],0)</f>
        <v>0</v>
      </c>
      <c r="AD154" s="116">
        <f>Ruimtestaat[[#This Row],[uren / jaar weekend]]*Tariefsopbouw!$D$40</f>
        <v>0</v>
      </c>
      <c r="AE154" s="82">
        <f>Ruimtestaat[[#This Row],[Prest. (m2 /jaar) weekend]]+Ruimtestaat[[#This Row],[Prest. (m2 /jaar) werkdagen]]</f>
        <v>3780</v>
      </c>
      <c r="AF154" s="82">
        <f>Ruimtestaat[[#This Row],[uren / jaar weekend]]+Ruimtestaat[[#This Row],[uren / jaar werkdagen]]</f>
        <v>0</v>
      </c>
      <c r="AG154" s="83">
        <f>Ruimtestaat[[#This Row],[kosten / jaar weekend]]+Ruimtestaat[[#This Row],[kosten / jaar werkdagen]]</f>
        <v>0</v>
      </c>
      <c r="AH154" s="117"/>
      <c r="HL154" s="87"/>
    </row>
    <row r="155" spans="1:220" ht="15" customHeight="1">
      <c r="A155" s="136">
        <v>1</v>
      </c>
      <c r="B155" s="27" t="str">
        <f>VLOOKUP(Ruimtestaat[[#This Row],[Code]],Locaties[#All],2,FALSE)</f>
        <v>Amstelveen College</v>
      </c>
      <c r="C155" s="27" t="str">
        <f>VLOOKUP(Ruimtestaat[[#This Row],[Code]],Locaties[#All],4,FALSE)</f>
        <v>Sportlaan 27</v>
      </c>
      <c r="D155" s="27" t="str">
        <f>VLOOKUP(Ruimtestaat[[#This Row],[Code]],Locaties[#All],5,FALSE)</f>
        <v>1185 TB</v>
      </c>
      <c r="E155" s="27" t="str">
        <f>VLOOKUP(Ruimtestaat[[#This Row],[Code]],Locaties[#All],6,FALSE)</f>
        <v>Amstelveen</v>
      </c>
      <c r="F155" s="74"/>
      <c r="G155" s="27" t="s">
        <v>272</v>
      </c>
      <c r="H155" s="35">
        <v>1057</v>
      </c>
      <c r="I155" s="24" t="s">
        <v>549</v>
      </c>
      <c r="J155" s="27">
        <v>12</v>
      </c>
      <c r="K155" s="74" t="str">
        <f>VLOOKUP(J155,Ruimtegroepen[],2,FALSE)</f>
        <v>Kantine</v>
      </c>
      <c r="L155" s="27" t="s">
        <v>114</v>
      </c>
      <c r="M155" s="27" t="s">
        <v>139</v>
      </c>
      <c r="N155" s="107">
        <v>167</v>
      </c>
      <c r="O155" s="107"/>
      <c r="P155" s="118" t="str">
        <f>LEFT(VLOOKUP(Ruimtestaat[[#This Row],[Ruimte code]],Ruimtegroepen[#All],4,1),2)</f>
        <v xml:space="preserve">V </v>
      </c>
      <c r="Q155" s="118"/>
      <c r="R155" s="108">
        <v>42</v>
      </c>
      <c r="S155" s="109" t="s">
        <v>2</v>
      </c>
      <c r="T155" s="110">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55" s="110">
        <f>IF(T155&gt;0,VLOOKUP($J155,Ruimtegroepen[],3,FALSE)*VLOOKUP($L155,Vloersoorten[],3,FALSE)*VLOOKUP($S155,Frequenties[],3,FALSE)*VLOOKUP($A155,Locaties[],3,FALSE),0)</f>
        <v>0</v>
      </c>
      <c r="V155" s="111">
        <f>Ruimtestaat[[#This Row],[Uitvoeringen werkdagen]]*Ruimtestaat[[#This Row],[Oppervlak (netto)]]</f>
        <v>35070</v>
      </c>
      <c r="W155" s="112">
        <f>IF(U155&gt;0,Ruimtestaat[[#This Row],[Prest. (m2 /jaar) werkdagen]]/Ruimtestaat[[#This Row],[Norm (m2/uur) werkdagen]],0)</f>
        <v>0</v>
      </c>
      <c r="X155" s="113">
        <f>Ruimtestaat[[#This Row],[uren / jaar werkdagen]]*Tariefsopbouw!$E$35</f>
        <v>0</v>
      </c>
      <c r="Y155" s="110"/>
      <c r="Z155" s="114">
        <f>IF(Ruimtestaat[[#This Row],[Frequentie weekend]]&gt;0,VALUE(LEFT(Y155,1))*R155,0)</f>
        <v>0</v>
      </c>
      <c r="AA155" s="110">
        <f>IF($Z155&gt;0,VLOOKUP($J155,Ruimtegroepen[],3,FALSE)*VLOOKUP($L155,Vloersoorten[],3,FALSE)*VLOOKUP($Y155,Frequenties[],3,FALSE)*VLOOKUP($A126,Locaties[],3,FALSE),0)</f>
        <v>0</v>
      </c>
      <c r="AB155" s="112">
        <f>Ruimtestaat[[#This Row],[Uitvoeringen weekend]]*Ruimtestaat[[#This Row],[Oppervlak (netto)]]</f>
        <v>0</v>
      </c>
      <c r="AC155" s="115">
        <f>IF(AB155&gt;0,Ruimtestaat[[#This Row],[Prest. (m2 /jaar) weekend]]/Ruimtestaat[[#This Row],[Norm (m2/uur) weekend]],0)</f>
        <v>0</v>
      </c>
      <c r="AD155" s="116">
        <f>Ruimtestaat[[#This Row],[uren / jaar weekend]]*Tariefsopbouw!$D$40</f>
        <v>0</v>
      </c>
      <c r="AE155" s="82">
        <f>Ruimtestaat[[#This Row],[Prest. (m2 /jaar) weekend]]+Ruimtestaat[[#This Row],[Prest. (m2 /jaar) werkdagen]]</f>
        <v>35070</v>
      </c>
      <c r="AF155" s="82">
        <f>Ruimtestaat[[#This Row],[uren / jaar weekend]]+Ruimtestaat[[#This Row],[uren / jaar werkdagen]]</f>
        <v>0</v>
      </c>
      <c r="AG155" s="83">
        <f>Ruimtestaat[[#This Row],[kosten / jaar weekend]]+Ruimtestaat[[#This Row],[kosten / jaar werkdagen]]</f>
        <v>0</v>
      </c>
      <c r="AH155" s="117"/>
      <c r="HL155" s="87"/>
    </row>
    <row r="156" spans="1:220" ht="15" customHeight="1">
      <c r="A156" s="136">
        <v>1</v>
      </c>
      <c r="B156" s="27" t="str">
        <f>VLOOKUP(Ruimtestaat[[#This Row],[Code]],Locaties[#All],2,FALSE)</f>
        <v>Amstelveen College</v>
      </c>
      <c r="C156" s="27" t="str">
        <f>VLOOKUP(Ruimtestaat[[#This Row],[Code]],Locaties[#All],4,FALSE)</f>
        <v>Sportlaan 27</v>
      </c>
      <c r="D156" s="27" t="str">
        <f>VLOOKUP(Ruimtestaat[[#This Row],[Code]],Locaties[#All],5,FALSE)</f>
        <v>1185 TB</v>
      </c>
      <c r="E156" s="27" t="str">
        <f>VLOOKUP(Ruimtestaat[[#This Row],[Code]],Locaties[#All],6,FALSE)</f>
        <v>Amstelveen</v>
      </c>
      <c r="F156" s="74"/>
      <c r="G156" s="27" t="s">
        <v>272</v>
      </c>
      <c r="H156" s="35" t="s">
        <v>550</v>
      </c>
      <c r="I156" s="24" t="s">
        <v>551</v>
      </c>
      <c r="J156" s="27">
        <v>6</v>
      </c>
      <c r="K156" s="74" t="str">
        <f>VLOOKUP(J156,Ruimtegroepen[],2,FALSE)</f>
        <v>Gangen/hallen</v>
      </c>
      <c r="L156" s="27" t="s">
        <v>114</v>
      </c>
      <c r="M156" s="27" t="s">
        <v>139</v>
      </c>
      <c r="N156" s="107">
        <v>3</v>
      </c>
      <c r="O156" s="107"/>
      <c r="P156" s="118" t="str">
        <f>LEFT(VLOOKUP(Ruimtestaat[[#This Row],[Ruimte code]],Ruimtegroepen[#All],4,1),2)</f>
        <v xml:space="preserve">V </v>
      </c>
      <c r="Q156" s="118"/>
      <c r="R156" s="108">
        <v>42</v>
      </c>
      <c r="S156" s="109" t="s">
        <v>2</v>
      </c>
      <c r="T156" s="110">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56" s="110">
        <f>IF(T156&gt;0,VLOOKUP($J156,Ruimtegroepen[],3,FALSE)*VLOOKUP($L156,Vloersoorten[],3,FALSE)*VLOOKUP($S156,Frequenties[],3,FALSE)*VLOOKUP($A156,Locaties[],3,FALSE),0)</f>
        <v>0</v>
      </c>
      <c r="V156" s="111">
        <f>Ruimtestaat[[#This Row],[Uitvoeringen werkdagen]]*Ruimtestaat[[#This Row],[Oppervlak (netto)]]</f>
        <v>630</v>
      </c>
      <c r="W156" s="112">
        <f>IF(U156&gt;0,Ruimtestaat[[#This Row],[Prest. (m2 /jaar) werkdagen]]/Ruimtestaat[[#This Row],[Norm (m2/uur) werkdagen]],0)</f>
        <v>0</v>
      </c>
      <c r="X156" s="113">
        <f>Ruimtestaat[[#This Row],[uren / jaar werkdagen]]*Tariefsopbouw!$E$35</f>
        <v>0</v>
      </c>
      <c r="Y156" s="110"/>
      <c r="Z156" s="114">
        <f>IF(Ruimtestaat[[#This Row],[Frequentie weekend]]&gt;0,VALUE(LEFT(Y156,1))*R156,0)</f>
        <v>0</v>
      </c>
      <c r="AA156" s="110">
        <f>IF($Z156&gt;0,VLOOKUP($J156,Ruimtegroepen[],3,FALSE)*VLOOKUP($L156,Vloersoorten[],3,FALSE)*VLOOKUP($Y156,Frequenties[],3,FALSE)*VLOOKUP($A127,Locaties[],3,FALSE),0)</f>
        <v>0</v>
      </c>
      <c r="AB156" s="112">
        <f>Ruimtestaat[[#This Row],[Uitvoeringen weekend]]*Ruimtestaat[[#This Row],[Oppervlak (netto)]]</f>
        <v>0</v>
      </c>
      <c r="AC156" s="115">
        <f>IF(AB156&gt;0,Ruimtestaat[[#This Row],[Prest. (m2 /jaar) weekend]]/Ruimtestaat[[#This Row],[Norm (m2/uur) weekend]],0)</f>
        <v>0</v>
      </c>
      <c r="AD156" s="116">
        <f>Ruimtestaat[[#This Row],[uren / jaar weekend]]*Tariefsopbouw!$D$40</f>
        <v>0</v>
      </c>
      <c r="AE156" s="82">
        <f>Ruimtestaat[[#This Row],[Prest. (m2 /jaar) weekend]]+Ruimtestaat[[#This Row],[Prest. (m2 /jaar) werkdagen]]</f>
        <v>630</v>
      </c>
      <c r="AF156" s="82">
        <f>Ruimtestaat[[#This Row],[uren / jaar weekend]]+Ruimtestaat[[#This Row],[uren / jaar werkdagen]]</f>
        <v>0</v>
      </c>
      <c r="AG156" s="83">
        <f>Ruimtestaat[[#This Row],[kosten / jaar weekend]]+Ruimtestaat[[#This Row],[kosten / jaar werkdagen]]</f>
        <v>0</v>
      </c>
      <c r="AH156" s="117"/>
      <c r="HL156" s="87"/>
    </row>
    <row r="157" spans="1:220" ht="15" customHeight="1">
      <c r="A157" s="136">
        <v>1</v>
      </c>
      <c r="B157" s="27" t="str">
        <f>VLOOKUP(Ruimtestaat[[#This Row],[Code]],Locaties[#All],2,FALSE)</f>
        <v>Amstelveen College</v>
      </c>
      <c r="C157" s="27" t="str">
        <f>VLOOKUP(Ruimtestaat[[#This Row],[Code]],Locaties[#All],4,FALSE)</f>
        <v>Sportlaan 27</v>
      </c>
      <c r="D157" s="27" t="str">
        <f>VLOOKUP(Ruimtestaat[[#This Row],[Code]],Locaties[#All],5,FALSE)</f>
        <v>1185 TB</v>
      </c>
      <c r="E157" s="27" t="str">
        <f>VLOOKUP(Ruimtestaat[[#This Row],[Code]],Locaties[#All],6,FALSE)</f>
        <v>Amstelveen</v>
      </c>
      <c r="F157" s="74"/>
      <c r="G157" s="27" t="s">
        <v>272</v>
      </c>
      <c r="H157" s="35" t="s">
        <v>552</v>
      </c>
      <c r="I157" s="24" t="s">
        <v>553</v>
      </c>
      <c r="J157" s="27">
        <v>2</v>
      </c>
      <c r="K157" s="74" t="str">
        <f>VLOOKUP(J157,Ruimtegroepen[],2,FALSE)</f>
        <v>Kantoren</v>
      </c>
      <c r="L157" s="27" t="s">
        <v>113</v>
      </c>
      <c r="M157" s="27" t="s">
        <v>39</v>
      </c>
      <c r="N157" s="107">
        <v>15</v>
      </c>
      <c r="O157" s="107"/>
      <c r="P157" s="118" t="str">
        <f>LEFT(VLOOKUP(Ruimtestaat[[#This Row],[Ruimte code]],Ruimtegroepen[#All],4,1),2)</f>
        <v xml:space="preserve">B </v>
      </c>
      <c r="Q157" s="118"/>
      <c r="R157" s="108">
        <v>42</v>
      </c>
      <c r="S157" s="109" t="s">
        <v>15</v>
      </c>
      <c r="T157" s="110">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57" s="110">
        <f>IF(T157&gt;0,VLOOKUP($J157,Ruimtegroepen[],3,FALSE)*VLOOKUP($L157,Vloersoorten[],3,FALSE)*VLOOKUP($S157,Frequenties[],3,FALSE)*VLOOKUP($A157,Locaties[],3,FALSE),0)</f>
        <v>0</v>
      </c>
      <c r="V157" s="111">
        <f>Ruimtestaat[[#This Row],[Uitvoeringen werkdagen]]*Ruimtestaat[[#This Row],[Oppervlak (netto)]]</f>
        <v>630</v>
      </c>
      <c r="W157" s="112">
        <f>IF(U157&gt;0,Ruimtestaat[[#This Row],[Prest. (m2 /jaar) werkdagen]]/Ruimtestaat[[#This Row],[Norm (m2/uur) werkdagen]],0)</f>
        <v>0</v>
      </c>
      <c r="X157" s="113">
        <f>Ruimtestaat[[#This Row],[uren / jaar werkdagen]]*Tariefsopbouw!$E$35</f>
        <v>0</v>
      </c>
      <c r="Y157" s="110"/>
      <c r="Z157" s="114">
        <f>IF(Ruimtestaat[[#This Row],[Frequentie weekend]]&gt;0,VALUE(LEFT(Y157,1))*R157,0)</f>
        <v>0</v>
      </c>
      <c r="AA157" s="110">
        <f>IF($Z157&gt;0,VLOOKUP($J157,Ruimtegroepen[],3,FALSE)*VLOOKUP($L157,Vloersoorten[],3,FALSE)*VLOOKUP($Y157,Frequenties[],3,FALSE)*VLOOKUP($A128,Locaties[],3,FALSE),0)</f>
        <v>0</v>
      </c>
      <c r="AB157" s="112">
        <f>Ruimtestaat[[#This Row],[Uitvoeringen weekend]]*Ruimtestaat[[#This Row],[Oppervlak (netto)]]</f>
        <v>0</v>
      </c>
      <c r="AC157" s="115">
        <f>IF(AB157&gt;0,Ruimtestaat[[#This Row],[Prest. (m2 /jaar) weekend]]/Ruimtestaat[[#This Row],[Norm (m2/uur) weekend]],0)</f>
        <v>0</v>
      </c>
      <c r="AD157" s="116">
        <f>Ruimtestaat[[#This Row],[uren / jaar weekend]]*Tariefsopbouw!$D$40</f>
        <v>0</v>
      </c>
      <c r="AE157" s="82">
        <f>Ruimtestaat[[#This Row],[Prest. (m2 /jaar) weekend]]+Ruimtestaat[[#This Row],[Prest. (m2 /jaar) werkdagen]]</f>
        <v>630</v>
      </c>
      <c r="AF157" s="82">
        <f>Ruimtestaat[[#This Row],[uren / jaar weekend]]+Ruimtestaat[[#This Row],[uren / jaar werkdagen]]</f>
        <v>0</v>
      </c>
      <c r="AG157" s="83">
        <f>Ruimtestaat[[#This Row],[kosten / jaar weekend]]+Ruimtestaat[[#This Row],[kosten / jaar werkdagen]]</f>
        <v>0</v>
      </c>
      <c r="AH157" s="117"/>
      <c r="HL157" s="87"/>
    </row>
    <row r="158" spans="1:220" ht="15" customHeight="1">
      <c r="A158" s="136">
        <v>1</v>
      </c>
      <c r="B158" s="27" t="str">
        <f>VLOOKUP(Ruimtestaat[[#This Row],[Code]],Locaties[#All],2,FALSE)</f>
        <v>Amstelveen College</v>
      </c>
      <c r="C158" s="27" t="str">
        <f>VLOOKUP(Ruimtestaat[[#This Row],[Code]],Locaties[#All],4,FALSE)</f>
        <v>Sportlaan 27</v>
      </c>
      <c r="D158" s="27" t="str">
        <f>VLOOKUP(Ruimtestaat[[#This Row],[Code]],Locaties[#All],5,FALSE)</f>
        <v>1185 TB</v>
      </c>
      <c r="E158" s="27" t="str">
        <f>VLOOKUP(Ruimtestaat[[#This Row],[Code]],Locaties[#All],6,FALSE)</f>
        <v>Amstelveen</v>
      </c>
      <c r="F158" s="74"/>
      <c r="G158" s="27" t="s">
        <v>272</v>
      </c>
      <c r="H158" s="35">
        <v>1054</v>
      </c>
      <c r="I158" s="24" t="s">
        <v>554</v>
      </c>
      <c r="J158" s="27">
        <v>4</v>
      </c>
      <c r="K158" s="74" t="str">
        <f>VLOOKUP(J158,Ruimtegroepen[],2,FALSE)</f>
        <v>Vergader/spreekkamers</v>
      </c>
      <c r="L158" s="27" t="s">
        <v>113</v>
      </c>
      <c r="M158" s="27" t="s">
        <v>39</v>
      </c>
      <c r="N158" s="107">
        <v>6</v>
      </c>
      <c r="O158" s="107"/>
      <c r="P158" s="118" t="str">
        <f>LEFT(VLOOKUP(Ruimtestaat[[#This Row],[Ruimte code]],Ruimtegroepen[#All],4,1),2)</f>
        <v xml:space="preserve">B </v>
      </c>
      <c r="Q158" s="118"/>
      <c r="R158" s="108">
        <v>40</v>
      </c>
      <c r="S158" s="109" t="s">
        <v>15</v>
      </c>
      <c r="T158" s="110">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8" s="110">
        <f>IF(T158&gt;0,VLOOKUP($J158,Ruimtegroepen[],3,FALSE)*VLOOKUP($L158,Vloersoorten[],3,FALSE)*VLOOKUP($S158,Frequenties[],3,FALSE)*VLOOKUP($A158,Locaties[],3,FALSE),0)</f>
        <v>0</v>
      </c>
      <c r="V158" s="111">
        <f>Ruimtestaat[[#This Row],[Uitvoeringen werkdagen]]*Ruimtestaat[[#This Row],[Oppervlak (netto)]]</f>
        <v>240</v>
      </c>
      <c r="W158" s="112">
        <f>IF(U158&gt;0,Ruimtestaat[[#This Row],[Prest. (m2 /jaar) werkdagen]]/Ruimtestaat[[#This Row],[Norm (m2/uur) werkdagen]],0)</f>
        <v>0</v>
      </c>
      <c r="X158" s="113">
        <f>Ruimtestaat[[#This Row],[uren / jaar werkdagen]]*Tariefsopbouw!$E$35</f>
        <v>0</v>
      </c>
      <c r="Y158" s="110"/>
      <c r="Z158" s="114">
        <f>IF(Ruimtestaat[[#This Row],[Frequentie weekend]]&gt;0,VALUE(LEFT(Y158,1))*R158,0)</f>
        <v>0</v>
      </c>
      <c r="AA158" s="110">
        <f>IF($Z158&gt;0,VLOOKUP($J158,Ruimtegroepen[],3,FALSE)*VLOOKUP($L158,Vloersoorten[],3,FALSE)*VLOOKUP($Y158,Frequenties[],3,FALSE)*VLOOKUP($A129,Locaties[],3,FALSE),0)</f>
        <v>0</v>
      </c>
      <c r="AB158" s="112">
        <f>Ruimtestaat[[#This Row],[Uitvoeringen weekend]]*Ruimtestaat[[#This Row],[Oppervlak (netto)]]</f>
        <v>0</v>
      </c>
      <c r="AC158" s="115">
        <f>IF(AB158&gt;0,Ruimtestaat[[#This Row],[Prest. (m2 /jaar) weekend]]/Ruimtestaat[[#This Row],[Norm (m2/uur) weekend]],0)</f>
        <v>0</v>
      </c>
      <c r="AD158" s="116">
        <f>Ruimtestaat[[#This Row],[uren / jaar weekend]]*Tariefsopbouw!$D$40</f>
        <v>0</v>
      </c>
      <c r="AE158" s="82">
        <f>Ruimtestaat[[#This Row],[Prest. (m2 /jaar) weekend]]+Ruimtestaat[[#This Row],[Prest. (m2 /jaar) werkdagen]]</f>
        <v>240</v>
      </c>
      <c r="AF158" s="82">
        <f>Ruimtestaat[[#This Row],[uren / jaar weekend]]+Ruimtestaat[[#This Row],[uren / jaar werkdagen]]</f>
        <v>0</v>
      </c>
      <c r="AG158" s="83">
        <f>Ruimtestaat[[#This Row],[kosten / jaar weekend]]+Ruimtestaat[[#This Row],[kosten / jaar werkdagen]]</f>
        <v>0</v>
      </c>
      <c r="AH158" s="117"/>
      <c r="HL158" s="87"/>
    </row>
    <row r="159" spans="1:220" ht="15" customHeight="1">
      <c r="A159" s="136">
        <v>1</v>
      </c>
      <c r="B159" s="27" t="str">
        <f>VLOOKUP(Ruimtestaat[[#This Row],[Code]],Locaties[#All],2,FALSE)</f>
        <v>Amstelveen College</v>
      </c>
      <c r="C159" s="27" t="str">
        <f>VLOOKUP(Ruimtestaat[[#This Row],[Code]],Locaties[#All],4,FALSE)</f>
        <v>Sportlaan 27</v>
      </c>
      <c r="D159" s="27" t="str">
        <f>VLOOKUP(Ruimtestaat[[#This Row],[Code]],Locaties[#All],5,FALSE)</f>
        <v>1185 TB</v>
      </c>
      <c r="E159" s="27" t="str">
        <f>VLOOKUP(Ruimtestaat[[#This Row],[Code]],Locaties[#All],6,FALSE)</f>
        <v>Amstelveen</v>
      </c>
      <c r="F159" s="74"/>
      <c r="G159" s="27" t="s">
        <v>272</v>
      </c>
      <c r="H159" s="35">
        <v>1055</v>
      </c>
      <c r="I159" s="24" t="s">
        <v>555</v>
      </c>
      <c r="J159" s="27">
        <v>2</v>
      </c>
      <c r="K159" s="74" t="str">
        <f>VLOOKUP(J159,Ruimtegroepen[],2,FALSE)</f>
        <v>Kantoren</v>
      </c>
      <c r="L159" s="27" t="s">
        <v>113</v>
      </c>
      <c r="M159" s="27" t="s">
        <v>39</v>
      </c>
      <c r="N159" s="107">
        <v>23</v>
      </c>
      <c r="O159" s="107"/>
      <c r="P159" s="118" t="str">
        <f>LEFT(VLOOKUP(Ruimtestaat[[#This Row],[Ruimte code]],Ruimtegroepen[#All],4,1),2)</f>
        <v xml:space="preserve">B </v>
      </c>
      <c r="Q159" s="118"/>
      <c r="R159" s="108">
        <v>42</v>
      </c>
      <c r="S159" s="109" t="s">
        <v>15</v>
      </c>
      <c r="T159" s="110">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59" s="110">
        <f>IF(T159&gt;0,VLOOKUP($J159,Ruimtegroepen[],3,FALSE)*VLOOKUP($L159,Vloersoorten[],3,FALSE)*VLOOKUP($S159,Frequenties[],3,FALSE)*VLOOKUP($A159,Locaties[],3,FALSE),0)</f>
        <v>0</v>
      </c>
      <c r="V159" s="111">
        <f>Ruimtestaat[[#This Row],[Uitvoeringen werkdagen]]*Ruimtestaat[[#This Row],[Oppervlak (netto)]]</f>
        <v>966</v>
      </c>
      <c r="W159" s="112">
        <f>IF(U159&gt;0,Ruimtestaat[[#This Row],[Prest. (m2 /jaar) werkdagen]]/Ruimtestaat[[#This Row],[Norm (m2/uur) werkdagen]],0)</f>
        <v>0</v>
      </c>
      <c r="X159" s="113">
        <f>Ruimtestaat[[#This Row],[uren / jaar werkdagen]]*Tariefsopbouw!$E$35</f>
        <v>0</v>
      </c>
      <c r="Y159" s="110"/>
      <c r="Z159" s="114">
        <f>IF(Ruimtestaat[[#This Row],[Frequentie weekend]]&gt;0,VALUE(LEFT(Y159,1))*R159,0)</f>
        <v>0</v>
      </c>
      <c r="AA159" s="110">
        <f>IF($Z159&gt;0,VLOOKUP($J159,Ruimtegroepen[],3,FALSE)*VLOOKUP($L159,Vloersoorten[],3,FALSE)*VLOOKUP($Y159,Frequenties[],3,FALSE)*VLOOKUP($A130,Locaties[],3,FALSE),0)</f>
        <v>0</v>
      </c>
      <c r="AB159" s="112">
        <f>Ruimtestaat[[#This Row],[Uitvoeringen weekend]]*Ruimtestaat[[#This Row],[Oppervlak (netto)]]</f>
        <v>0</v>
      </c>
      <c r="AC159" s="115">
        <f>IF(AB159&gt;0,Ruimtestaat[[#This Row],[Prest. (m2 /jaar) weekend]]/Ruimtestaat[[#This Row],[Norm (m2/uur) weekend]],0)</f>
        <v>0</v>
      </c>
      <c r="AD159" s="116">
        <f>Ruimtestaat[[#This Row],[uren / jaar weekend]]*Tariefsopbouw!$D$40</f>
        <v>0</v>
      </c>
      <c r="AE159" s="82">
        <f>Ruimtestaat[[#This Row],[Prest. (m2 /jaar) weekend]]+Ruimtestaat[[#This Row],[Prest. (m2 /jaar) werkdagen]]</f>
        <v>966</v>
      </c>
      <c r="AF159" s="82">
        <f>Ruimtestaat[[#This Row],[uren / jaar weekend]]+Ruimtestaat[[#This Row],[uren / jaar werkdagen]]</f>
        <v>0</v>
      </c>
      <c r="AG159" s="83">
        <f>Ruimtestaat[[#This Row],[kosten / jaar weekend]]+Ruimtestaat[[#This Row],[kosten / jaar werkdagen]]</f>
        <v>0</v>
      </c>
      <c r="AH159" s="117"/>
      <c r="HL159" s="87"/>
    </row>
    <row r="160" spans="1:220" ht="15" customHeight="1">
      <c r="A160" s="136">
        <v>1</v>
      </c>
      <c r="B160" s="27" t="str">
        <f>VLOOKUP(Ruimtestaat[[#This Row],[Code]],Locaties[#All],2,FALSE)</f>
        <v>Amstelveen College</v>
      </c>
      <c r="C160" s="27" t="str">
        <f>VLOOKUP(Ruimtestaat[[#This Row],[Code]],Locaties[#All],4,FALSE)</f>
        <v>Sportlaan 27</v>
      </c>
      <c r="D160" s="27" t="str">
        <f>VLOOKUP(Ruimtestaat[[#This Row],[Code]],Locaties[#All],5,FALSE)</f>
        <v>1185 TB</v>
      </c>
      <c r="E160" s="27" t="str">
        <f>VLOOKUP(Ruimtestaat[[#This Row],[Code]],Locaties[#All],6,FALSE)</f>
        <v>Amstelveen</v>
      </c>
      <c r="F160" s="74"/>
      <c r="G160" s="27" t="s">
        <v>272</v>
      </c>
      <c r="H160" s="35">
        <v>1056</v>
      </c>
      <c r="I160" s="24" t="s">
        <v>556</v>
      </c>
      <c r="J160" s="27">
        <v>2</v>
      </c>
      <c r="K160" s="74" t="str">
        <f>VLOOKUP(J160,Ruimtegroepen[],2,FALSE)</f>
        <v>Kantoren</v>
      </c>
      <c r="L160" s="27" t="s">
        <v>113</v>
      </c>
      <c r="M160" s="27" t="s">
        <v>39</v>
      </c>
      <c r="N160" s="107">
        <v>22</v>
      </c>
      <c r="O160" s="107"/>
      <c r="P160" s="118" t="str">
        <f>LEFT(VLOOKUP(Ruimtestaat[[#This Row],[Ruimte code]],Ruimtegroepen[#All],4,1),2)</f>
        <v xml:space="preserve">B </v>
      </c>
      <c r="Q160" s="118"/>
      <c r="R160" s="108">
        <v>42</v>
      </c>
      <c r="S160" s="109" t="s">
        <v>15</v>
      </c>
      <c r="T160" s="110">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60" s="110">
        <f>IF(T160&gt;0,VLOOKUP($J160,Ruimtegroepen[],3,FALSE)*VLOOKUP($L160,Vloersoorten[],3,FALSE)*VLOOKUP($S160,Frequenties[],3,FALSE)*VLOOKUP($A160,Locaties[],3,FALSE),0)</f>
        <v>0</v>
      </c>
      <c r="V160" s="111">
        <f>Ruimtestaat[[#This Row],[Uitvoeringen werkdagen]]*Ruimtestaat[[#This Row],[Oppervlak (netto)]]</f>
        <v>924</v>
      </c>
      <c r="W160" s="112">
        <f>IF(U160&gt;0,Ruimtestaat[[#This Row],[Prest. (m2 /jaar) werkdagen]]/Ruimtestaat[[#This Row],[Norm (m2/uur) werkdagen]],0)</f>
        <v>0</v>
      </c>
      <c r="X160" s="113">
        <f>Ruimtestaat[[#This Row],[uren / jaar werkdagen]]*Tariefsopbouw!$E$35</f>
        <v>0</v>
      </c>
      <c r="Y160" s="110"/>
      <c r="Z160" s="114">
        <f>IF(Ruimtestaat[[#This Row],[Frequentie weekend]]&gt;0,VALUE(LEFT(Y160,1))*R160,0)</f>
        <v>0</v>
      </c>
      <c r="AA160" s="110">
        <f>IF($Z160&gt;0,VLOOKUP($J160,Ruimtegroepen[],3,FALSE)*VLOOKUP($L160,Vloersoorten[],3,FALSE)*VLOOKUP($Y160,Frequenties[],3,FALSE)*VLOOKUP($A131,Locaties[],3,FALSE),0)</f>
        <v>0</v>
      </c>
      <c r="AB160" s="112">
        <f>Ruimtestaat[[#This Row],[Uitvoeringen weekend]]*Ruimtestaat[[#This Row],[Oppervlak (netto)]]</f>
        <v>0</v>
      </c>
      <c r="AC160" s="115">
        <f>IF(AB160&gt;0,Ruimtestaat[[#This Row],[Prest. (m2 /jaar) weekend]]/Ruimtestaat[[#This Row],[Norm (m2/uur) weekend]],0)</f>
        <v>0</v>
      </c>
      <c r="AD160" s="116">
        <f>Ruimtestaat[[#This Row],[uren / jaar weekend]]*Tariefsopbouw!$D$40</f>
        <v>0</v>
      </c>
      <c r="AE160" s="82">
        <f>Ruimtestaat[[#This Row],[Prest. (m2 /jaar) weekend]]+Ruimtestaat[[#This Row],[Prest. (m2 /jaar) werkdagen]]</f>
        <v>924</v>
      </c>
      <c r="AF160" s="82">
        <f>Ruimtestaat[[#This Row],[uren / jaar weekend]]+Ruimtestaat[[#This Row],[uren / jaar werkdagen]]</f>
        <v>0</v>
      </c>
      <c r="AG160" s="83">
        <f>Ruimtestaat[[#This Row],[kosten / jaar weekend]]+Ruimtestaat[[#This Row],[kosten / jaar werkdagen]]</f>
        <v>0</v>
      </c>
      <c r="AH160" s="117"/>
      <c r="HL160" s="87"/>
    </row>
    <row r="161" spans="1:220" ht="15" customHeight="1">
      <c r="A161" s="136">
        <v>1</v>
      </c>
      <c r="B161" s="27" t="str">
        <f>VLOOKUP(Ruimtestaat[[#This Row],[Code]],Locaties[#All],2,FALSE)</f>
        <v>Amstelveen College</v>
      </c>
      <c r="C161" s="27" t="str">
        <f>VLOOKUP(Ruimtestaat[[#This Row],[Code]],Locaties[#All],4,FALSE)</f>
        <v>Sportlaan 27</v>
      </c>
      <c r="D161" s="27" t="str">
        <f>VLOOKUP(Ruimtestaat[[#This Row],[Code]],Locaties[#All],5,FALSE)</f>
        <v>1185 TB</v>
      </c>
      <c r="E161" s="27" t="str">
        <f>VLOOKUP(Ruimtestaat[[#This Row],[Code]],Locaties[#All],6,FALSE)</f>
        <v>Amstelveen</v>
      </c>
      <c r="F161" s="74"/>
      <c r="G161" s="27" t="s">
        <v>272</v>
      </c>
      <c r="H161" s="35">
        <v>1042</v>
      </c>
      <c r="I161" s="24" t="s">
        <v>557</v>
      </c>
      <c r="J161" s="27">
        <v>2</v>
      </c>
      <c r="K161" s="74" t="str">
        <f>VLOOKUP(J161,Ruimtegroepen[],2,FALSE)</f>
        <v>Kantoren</v>
      </c>
      <c r="L161" s="27" t="s">
        <v>113</v>
      </c>
      <c r="M161" s="27" t="s">
        <v>39</v>
      </c>
      <c r="N161" s="107">
        <v>16</v>
      </c>
      <c r="O161" s="107"/>
      <c r="P161" s="118" t="str">
        <f>LEFT(VLOOKUP(Ruimtestaat[[#This Row],[Ruimte code]],Ruimtegroepen[#All],4,1),2)</f>
        <v xml:space="preserve">B </v>
      </c>
      <c r="Q161" s="118"/>
      <c r="R161" s="108">
        <v>42</v>
      </c>
      <c r="S161" s="109" t="s">
        <v>15</v>
      </c>
      <c r="T161" s="110">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61" s="110">
        <f>IF(T161&gt;0,VLOOKUP($J161,Ruimtegroepen[],3,FALSE)*VLOOKUP($L161,Vloersoorten[],3,FALSE)*VLOOKUP($S161,Frequenties[],3,FALSE)*VLOOKUP($A161,Locaties[],3,FALSE),0)</f>
        <v>0</v>
      </c>
      <c r="V161" s="111">
        <f>Ruimtestaat[[#This Row],[Uitvoeringen werkdagen]]*Ruimtestaat[[#This Row],[Oppervlak (netto)]]</f>
        <v>672</v>
      </c>
      <c r="W161" s="112">
        <f>IF(U161&gt;0,Ruimtestaat[[#This Row],[Prest. (m2 /jaar) werkdagen]]/Ruimtestaat[[#This Row],[Norm (m2/uur) werkdagen]],0)</f>
        <v>0</v>
      </c>
      <c r="X161" s="113">
        <f>Ruimtestaat[[#This Row],[uren / jaar werkdagen]]*Tariefsopbouw!$E$35</f>
        <v>0</v>
      </c>
      <c r="Y161" s="110"/>
      <c r="Z161" s="114">
        <f>IF(Ruimtestaat[[#This Row],[Frequentie weekend]]&gt;0,VALUE(LEFT(Y161,1))*R161,0)</f>
        <v>0</v>
      </c>
      <c r="AA161" s="110">
        <f>IF($Z161&gt;0,VLOOKUP($J161,Ruimtegroepen[],3,FALSE)*VLOOKUP($L161,Vloersoorten[],3,FALSE)*VLOOKUP($Y161,Frequenties[],3,FALSE)*VLOOKUP($A132,Locaties[],3,FALSE),0)</f>
        <v>0</v>
      </c>
      <c r="AB161" s="112">
        <f>Ruimtestaat[[#This Row],[Uitvoeringen weekend]]*Ruimtestaat[[#This Row],[Oppervlak (netto)]]</f>
        <v>0</v>
      </c>
      <c r="AC161" s="115">
        <f>IF(AB161&gt;0,Ruimtestaat[[#This Row],[Prest. (m2 /jaar) weekend]]/Ruimtestaat[[#This Row],[Norm (m2/uur) weekend]],0)</f>
        <v>0</v>
      </c>
      <c r="AD161" s="116">
        <f>Ruimtestaat[[#This Row],[uren / jaar weekend]]*Tariefsopbouw!$D$40</f>
        <v>0</v>
      </c>
      <c r="AE161" s="82">
        <f>Ruimtestaat[[#This Row],[Prest. (m2 /jaar) weekend]]+Ruimtestaat[[#This Row],[Prest. (m2 /jaar) werkdagen]]</f>
        <v>672</v>
      </c>
      <c r="AF161" s="82">
        <f>Ruimtestaat[[#This Row],[uren / jaar weekend]]+Ruimtestaat[[#This Row],[uren / jaar werkdagen]]</f>
        <v>0</v>
      </c>
      <c r="AG161" s="83">
        <f>Ruimtestaat[[#This Row],[kosten / jaar weekend]]+Ruimtestaat[[#This Row],[kosten / jaar werkdagen]]</f>
        <v>0</v>
      </c>
      <c r="AH161" s="117"/>
      <c r="HL161" s="87"/>
    </row>
    <row r="162" spans="1:220" ht="15" customHeight="1">
      <c r="A162" s="136">
        <v>1</v>
      </c>
      <c r="B162" s="27" t="str">
        <f>VLOOKUP(Ruimtestaat[[#This Row],[Code]],Locaties[#All],2,FALSE)</f>
        <v>Amstelveen College</v>
      </c>
      <c r="C162" s="27" t="str">
        <f>VLOOKUP(Ruimtestaat[[#This Row],[Code]],Locaties[#All],4,FALSE)</f>
        <v>Sportlaan 27</v>
      </c>
      <c r="D162" s="27" t="str">
        <f>VLOOKUP(Ruimtestaat[[#This Row],[Code]],Locaties[#All],5,FALSE)</f>
        <v>1185 TB</v>
      </c>
      <c r="E162" s="27" t="str">
        <f>VLOOKUP(Ruimtestaat[[#This Row],[Code]],Locaties[#All],6,FALSE)</f>
        <v>Amstelveen</v>
      </c>
      <c r="F162" s="74"/>
      <c r="G162" s="27" t="s">
        <v>272</v>
      </c>
      <c r="H162" s="35">
        <v>1043</v>
      </c>
      <c r="I162" s="24" t="s">
        <v>558</v>
      </c>
      <c r="J162" s="27">
        <v>20</v>
      </c>
      <c r="K162" s="74" t="str">
        <f>VLOOKUP(J162,Ruimtegroepen[],2,FALSE)</f>
        <v>Niet in onderhoud</v>
      </c>
      <c r="M162" s="27"/>
      <c r="N162" s="107"/>
      <c r="O162" s="107">
        <v>21</v>
      </c>
      <c r="P162" s="118" t="str">
        <f>LEFT(VLOOKUP(Ruimtestaat[[#This Row],[Ruimte code]],Ruimtegroepen[#All],4,1),2)</f>
        <v/>
      </c>
      <c r="Q162" s="118"/>
      <c r="R162" s="108"/>
      <c r="S162" s="109"/>
      <c r="T162" s="110">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2" s="110">
        <f>IF(T162&gt;0,VLOOKUP($J162,Ruimtegroepen[],3,FALSE)*VLOOKUP($L162,Vloersoorten[],3,FALSE)*VLOOKUP($S162,Frequenties[],3,FALSE)*VLOOKUP($A162,Locaties[],3,FALSE),0)</f>
        <v>0</v>
      </c>
      <c r="V162" s="111">
        <f>Ruimtestaat[[#This Row],[Uitvoeringen werkdagen]]*Ruimtestaat[[#This Row],[Oppervlak (netto)]]</f>
        <v>0</v>
      </c>
      <c r="W162" s="112">
        <f>IF(U162&gt;0,Ruimtestaat[[#This Row],[Prest. (m2 /jaar) werkdagen]]/Ruimtestaat[[#This Row],[Norm (m2/uur) werkdagen]],0)</f>
        <v>0</v>
      </c>
      <c r="X162" s="113">
        <f>Ruimtestaat[[#This Row],[uren / jaar werkdagen]]*Tariefsopbouw!$E$35</f>
        <v>0</v>
      </c>
      <c r="Y162" s="110"/>
      <c r="Z162" s="114">
        <f>IF(Ruimtestaat[[#This Row],[Frequentie weekend]]&gt;0,VALUE(LEFT(Y162,1))*R162,0)</f>
        <v>0</v>
      </c>
      <c r="AA162" s="110">
        <f>IF($Z162&gt;0,VLOOKUP($J162,Ruimtegroepen[],3,FALSE)*VLOOKUP($L162,Vloersoorten[],3,FALSE)*VLOOKUP($Y162,Frequenties[],3,FALSE)*VLOOKUP($A133,Locaties[],3,FALSE),0)</f>
        <v>0</v>
      </c>
      <c r="AB162" s="112">
        <f>Ruimtestaat[[#This Row],[Uitvoeringen weekend]]*Ruimtestaat[[#This Row],[Oppervlak (netto)]]</f>
        <v>0</v>
      </c>
      <c r="AC162" s="115">
        <f>IF(AB162&gt;0,Ruimtestaat[[#This Row],[Prest. (m2 /jaar) weekend]]/Ruimtestaat[[#This Row],[Norm (m2/uur) weekend]],0)</f>
        <v>0</v>
      </c>
      <c r="AD162" s="116">
        <f>Ruimtestaat[[#This Row],[uren / jaar weekend]]*Tariefsopbouw!$D$40</f>
        <v>0</v>
      </c>
      <c r="AE162" s="82">
        <f>Ruimtestaat[[#This Row],[Prest. (m2 /jaar) weekend]]+Ruimtestaat[[#This Row],[Prest. (m2 /jaar) werkdagen]]</f>
        <v>0</v>
      </c>
      <c r="AF162" s="82">
        <f>Ruimtestaat[[#This Row],[uren / jaar weekend]]+Ruimtestaat[[#This Row],[uren / jaar werkdagen]]</f>
        <v>0</v>
      </c>
      <c r="AG162" s="83">
        <f>Ruimtestaat[[#This Row],[kosten / jaar weekend]]+Ruimtestaat[[#This Row],[kosten / jaar werkdagen]]</f>
        <v>0</v>
      </c>
      <c r="AH162" s="117"/>
      <c r="HL162" s="87"/>
    </row>
    <row r="163" spans="1:220" ht="15" customHeight="1">
      <c r="A163" s="136">
        <v>1</v>
      </c>
      <c r="B163" s="27" t="str">
        <f>VLOOKUP(Ruimtestaat[[#This Row],[Code]],Locaties[#All],2,FALSE)</f>
        <v>Amstelveen College</v>
      </c>
      <c r="C163" s="27" t="str">
        <f>VLOOKUP(Ruimtestaat[[#This Row],[Code]],Locaties[#All],4,FALSE)</f>
        <v>Sportlaan 27</v>
      </c>
      <c r="D163" s="27" t="str">
        <f>VLOOKUP(Ruimtestaat[[#This Row],[Code]],Locaties[#All],5,FALSE)</f>
        <v>1185 TB</v>
      </c>
      <c r="E163" s="27" t="str">
        <f>VLOOKUP(Ruimtestaat[[#This Row],[Code]],Locaties[#All],6,FALSE)</f>
        <v>Amstelveen</v>
      </c>
      <c r="F163" s="74"/>
      <c r="G163" s="27" t="s">
        <v>272</v>
      </c>
      <c r="H163" s="35">
        <v>1045</v>
      </c>
      <c r="I163" s="24" t="s">
        <v>367</v>
      </c>
      <c r="J163" s="27">
        <v>20</v>
      </c>
      <c r="K163" s="74" t="str">
        <f>VLOOKUP(J163,Ruimtegroepen[],2,FALSE)</f>
        <v>Niet in onderhoud</v>
      </c>
      <c r="M163" s="27"/>
      <c r="N163" s="107"/>
      <c r="O163" s="107">
        <v>8</v>
      </c>
      <c r="P163" s="118" t="str">
        <f>LEFT(VLOOKUP(Ruimtestaat[[#This Row],[Ruimte code]],Ruimtegroepen[#All],4,1),2)</f>
        <v/>
      </c>
      <c r="Q163" s="118"/>
      <c r="R163" s="108"/>
      <c r="S163" s="109"/>
      <c r="T163" s="110">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3" s="110">
        <f>IF(T163&gt;0,VLOOKUP($J163,Ruimtegroepen[],3,FALSE)*VLOOKUP($L163,Vloersoorten[],3,FALSE)*VLOOKUP($S163,Frequenties[],3,FALSE)*VLOOKUP($A163,Locaties[],3,FALSE),0)</f>
        <v>0</v>
      </c>
      <c r="V163" s="111">
        <f>Ruimtestaat[[#This Row],[Uitvoeringen werkdagen]]*Ruimtestaat[[#This Row],[Oppervlak (netto)]]</f>
        <v>0</v>
      </c>
      <c r="W163" s="112">
        <f>IF(U163&gt;0,Ruimtestaat[[#This Row],[Prest. (m2 /jaar) werkdagen]]/Ruimtestaat[[#This Row],[Norm (m2/uur) werkdagen]],0)</f>
        <v>0</v>
      </c>
      <c r="X163" s="113">
        <f>Ruimtestaat[[#This Row],[uren / jaar werkdagen]]*Tariefsopbouw!$E$35</f>
        <v>0</v>
      </c>
      <c r="Y163" s="110"/>
      <c r="Z163" s="114">
        <f>IF(Ruimtestaat[[#This Row],[Frequentie weekend]]&gt;0,VALUE(LEFT(Y163,1))*R163,0)</f>
        <v>0</v>
      </c>
      <c r="AA163" s="110">
        <f>IF($Z163&gt;0,VLOOKUP($J163,Ruimtegroepen[],3,FALSE)*VLOOKUP($L163,Vloersoorten[],3,FALSE)*VLOOKUP($Y163,Frequenties[],3,FALSE)*VLOOKUP($A134,Locaties[],3,FALSE),0)</f>
        <v>0</v>
      </c>
      <c r="AB163" s="112">
        <f>Ruimtestaat[[#This Row],[Uitvoeringen weekend]]*Ruimtestaat[[#This Row],[Oppervlak (netto)]]</f>
        <v>0</v>
      </c>
      <c r="AC163" s="115">
        <f>IF(AB163&gt;0,Ruimtestaat[[#This Row],[Prest. (m2 /jaar) weekend]]/Ruimtestaat[[#This Row],[Norm (m2/uur) weekend]],0)</f>
        <v>0</v>
      </c>
      <c r="AD163" s="116">
        <f>Ruimtestaat[[#This Row],[uren / jaar weekend]]*Tariefsopbouw!$D$40</f>
        <v>0</v>
      </c>
      <c r="AE163" s="82">
        <f>Ruimtestaat[[#This Row],[Prest. (m2 /jaar) weekend]]+Ruimtestaat[[#This Row],[Prest. (m2 /jaar) werkdagen]]</f>
        <v>0</v>
      </c>
      <c r="AF163" s="82">
        <f>Ruimtestaat[[#This Row],[uren / jaar weekend]]+Ruimtestaat[[#This Row],[uren / jaar werkdagen]]</f>
        <v>0</v>
      </c>
      <c r="AG163" s="83">
        <f>Ruimtestaat[[#This Row],[kosten / jaar weekend]]+Ruimtestaat[[#This Row],[kosten / jaar werkdagen]]</f>
        <v>0</v>
      </c>
      <c r="AH163" s="117"/>
      <c r="HL163" s="87"/>
    </row>
    <row r="164" spans="1:220" ht="15" customHeight="1">
      <c r="A164" s="136">
        <v>1</v>
      </c>
      <c r="B164" s="27" t="str">
        <f>VLOOKUP(Ruimtestaat[[#This Row],[Code]],Locaties[#All],2,FALSE)</f>
        <v>Amstelveen College</v>
      </c>
      <c r="C164" s="27" t="str">
        <f>VLOOKUP(Ruimtestaat[[#This Row],[Code]],Locaties[#All],4,FALSE)</f>
        <v>Sportlaan 27</v>
      </c>
      <c r="D164" s="27" t="str">
        <f>VLOOKUP(Ruimtestaat[[#This Row],[Code]],Locaties[#All],5,FALSE)</f>
        <v>1185 TB</v>
      </c>
      <c r="E164" s="27" t="str">
        <f>VLOOKUP(Ruimtestaat[[#This Row],[Code]],Locaties[#All],6,FALSE)</f>
        <v>Amstelveen</v>
      </c>
      <c r="F164" s="74"/>
      <c r="G164" s="27" t="s">
        <v>272</v>
      </c>
      <c r="H164" s="35">
        <v>1040</v>
      </c>
      <c r="I164" s="24" t="s">
        <v>369</v>
      </c>
      <c r="J164" s="27">
        <v>6</v>
      </c>
      <c r="K164" s="74" t="str">
        <f>VLOOKUP(J164,Ruimtegroepen[],2,FALSE)</f>
        <v>Gangen/hallen</v>
      </c>
      <c r="L164" s="27" t="s">
        <v>114</v>
      </c>
      <c r="M164" s="27" t="s">
        <v>139</v>
      </c>
      <c r="N164" s="107">
        <v>9</v>
      </c>
      <c r="O164" s="107"/>
      <c r="P164" s="118" t="str">
        <f>LEFT(VLOOKUP(Ruimtestaat[[#This Row],[Ruimte code]],Ruimtegroepen[#All],4,1),2)</f>
        <v xml:space="preserve">V </v>
      </c>
      <c r="Q164" s="118"/>
      <c r="R164" s="108">
        <v>42</v>
      </c>
      <c r="S164" s="109" t="s">
        <v>2</v>
      </c>
      <c r="T164" s="110">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64" s="110">
        <f>IF(T164&gt;0,VLOOKUP($J164,Ruimtegroepen[],3,FALSE)*VLOOKUP($L164,Vloersoorten[],3,FALSE)*VLOOKUP($S164,Frequenties[],3,FALSE)*VLOOKUP($A164,Locaties[],3,FALSE),0)</f>
        <v>0</v>
      </c>
      <c r="V164" s="111">
        <f>Ruimtestaat[[#This Row],[Uitvoeringen werkdagen]]*Ruimtestaat[[#This Row],[Oppervlak (netto)]]</f>
        <v>1890</v>
      </c>
      <c r="W164" s="112">
        <f>IF(U164&gt;0,Ruimtestaat[[#This Row],[Prest. (m2 /jaar) werkdagen]]/Ruimtestaat[[#This Row],[Norm (m2/uur) werkdagen]],0)</f>
        <v>0</v>
      </c>
      <c r="X164" s="113">
        <f>Ruimtestaat[[#This Row],[uren / jaar werkdagen]]*Tariefsopbouw!$E$35</f>
        <v>0</v>
      </c>
      <c r="Y164" s="110"/>
      <c r="Z164" s="114">
        <f>IF(Ruimtestaat[[#This Row],[Frequentie weekend]]&gt;0,VALUE(LEFT(Y164,1))*R164,0)</f>
        <v>0</v>
      </c>
      <c r="AA164" s="110">
        <f>IF($Z164&gt;0,VLOOKUP($J164,Ruimtegroepen[],3,FALSE)*VLOOKUP($L164,Vloersoorten[],3,FALSE)*VLOOKUP($Y164,Frequenties[],3,FALSE)*VLOOKUP($A135,Locaties[],3,FALSE),0)</f>
        <v>0</v>
      </c>
      <c r="AB164" s="112">
        <f>Ruimtestaat[[#This Row],[Uitvoeringen weekend]]*Ruimtestaat[[#This Row],[Oppervlak (netto)]]</f>
        <v>0</v>
      </c>
      <c r="AC164" s="115">
        <f>IF(AB164&gt;0,Ruimtestaat[[#This Row],[Prest. (m2 /jaar) weekend]]/Ruimtestaat[[#This Row],[Norm (m2/uur) weekend]],0)</f>
        <v>0</v>
      </c>
      <c r="AD164" s="116">
        <f>Ruimtestaat[[#This Row],[uren / jaar weekend]]*Tariefsopbouw!$D$40</f>
        <v>0</v>
      </c>
      <c r="AE164" s="82">
        <f>Ruimtestaat[[#This Row],[Prest. (m2 /jaar) weekend]]+Ruimtestaat[[#This Row],[Prest. (m2 /jaar) werkdagen]]</f>
        <v>1890</v>
      </c>
      <c r="AF164" s="82">
        <f>Ruimtestaat[[#This Row],[uren / jaar weekend]]+Ruimtestaat[[#This Row],[uren / jaar werkdagen]]</f>
        <v>0</v>
      </c>
      <c r="AG164" s="83">
        <f>Ruimtestaat[[#This Row],[kosten / jaar weekend]]+Ruimtestaat[[#This Row],[kosten / jaar werkdagen]]</f>
        <v>0</v>
      </c>
      <c r="AH164" s="117"/>
      <c r="HL164" s="87"/>
    </row>
    <row r="165" spans="1:220" ht="15" customHeight="1">
      <c r="A165" s="136">
        <v>1</v>
      </c>
      <c r="B165" s="27" t="str">
        <f>VLOOKUP(Ruimtestaat[[#This Row],[Code]],Locaties[#All],2,FALSE)</f>
        <v>Amstelveen College</v>
      </c>
      <c r="C165" s="27" t="str">
        <f>VLOOKUP(Ruimtestaat[[#This Row],[Code]],Locaties[#All],4,FALSE)</f>
        <v>Sportlaan 27</v>
      </c>
      <c r="D165" s="27" t="str">
        <f>VLOOKUP(Ruimtestaat[[#This Row],[Code]],Locaties[#All],5,FALSE)</f>
        <v>1185 TB</v>
      </c>
      <c r="E165" s="27" t="str">
        <f>VLOOKUP(Ruimtestaat[[#This Row],[Code]],Locaties[#All],6,FALSE)</f>
        <v>Amstelveen</v>
      </c>
      <c r="F165" s="74"/>
      <c r="G165" s="27" t="s">
        <v>272</v>
      </c>
      <c r="H165" s="35">
        <v>1041</v>
      </c>
      <c r="I165" s="24" t="s">
        <v>559</v>
      </c>
      <c r="J165" s="27">
        <v>2</v>
      </c>
      <c r="K165" s="74" t="str">
        <f>VLOOKUP(J165,Ruimtegroepen[],2,FALSE)</f>
        <v>Kantoren</v>
      </c>
      <c r="L165" s="27" t="s">
        <v>113</v>
      </c>
      <c r="M165" s="27" t="s">
        <v>39</v>
      </c>
      <c r="N165" s="107">
        <v>19</v>
      </c>
      <c r="O165" s="107"/>
      <c r="P165" s="118" t="str">
        <f>LEFT(VLOOKUP(Ruimtestaat[[#This Row],[Ruimte code]],Ruimtegroepen[#All],4,1),2)</f>
        <v xml:space="preserve">B </v>
      </c>
      <c r="Q165" s="118"/>
      <c r="R165" s="108">
        <v>42</v>
      </c>
      <c r="S165" s="109" t="s">
        <v>15</v>
      </c>
      <c r="T165" s="110">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65" s="110">
        <f>IF(T165&gt;0,VLOOKUP($J165,Ruimtegroepen[],3,FALSE)*VLOOKUP($L165,Vloersoorten[],3,FALSE)*VLOOKUP($S165,Frequenties[],3,FALSE)*VLOOKUP($A165,Locaties[],3,FALSE),0)</f>
        <v>0</v>
      </c>
      <c r="V165" s="111">
        <f>Ruimtestaat[[#This Row],[Uitvoeringen werkdagen]]*Ruimtestaat[[#This Row],[Oppervlak (netto)]]</f>
        <v>798</v>
      </c>
      <c r="W165" s="112">
        <f>IF(U165&gt;0,Ruimtestaat[[#This Row],[Prest. (m2 /jaar) werkdagen]]/Ruimtestaat[[#This Row],[Norm (m2/uur) werkdagen]],0)</f>
        <v>0</v>
      </c>
      <c r="X165" s="113">
        <f>Ruimtestaat[[#This Row],[uren / jaar werkdagen]]*Tariefsopbouw!$E$35</f>
        <v>0</v>
      </c>
      <c r="Y165" s="110"/>
      <c r="Z165" s="114">
        <f>IF(Ruimtestaat[[#This Row],[Frequentie weekend]]&gt;0,VALUE(LEFT(Y165,1))*R165,0)</f>
        <v>0</v>
      </c>
      <c r="AA165" s="110">
        <f>IF($Z165&gt;0,VLOOKUP($J165,Ruimtegroepen[],3,FALSE)*VLOOKUP($L165,Vloersoorten[],3,FALSE)*VLOOKUP($Y165,Frequenties[],3,FALSE)*VLOOKUP($A136,Locaties[],3,FALSE),0)</f>
        <v>0</v>
      </c>
      <c r="AB165" s="112">
        <f>Ruimtestaat[[#This Row],[Uitvoeringen weekend]]*Ruimtestaat[[#This Row],[Oppervlak (netto)]]</f>
        <v>0</v>
      </c>
      <c r="AC165" s="115">
        <f>IF(AB165&gt;0,Ruimtestaat[[#This Row],[Prest. (m2 /jaar) weekend]]/Ruimtestaat[[#This Row],[Norm (m2/uur) weekend]],0)</f>
        <v>0</v>
      </c>
      <c r="AD165" s="116">
        <f>Ruimtestaat[[#This Row],[uren / jaar weekend]]*Tariefsopbouw!$D$40</f>
        <v>0</v>
      </c>
      <c r="AE165" s="82">
        <f>Ruimtestaat[[#This Row],[Prest. (m2 /jaar) weekend]]+Ruimtestaat[[#This Row],[Prest. (m2 /jaar) werkdagen]]</f>
        <v>798</v>
      </c>
      <c r="AF165" s="82">
        <f>Ruimtestaat[[#This Row],[uren / jaar weekend]]+Ruimtestaat[[#This Row],[uren / jaar werkdagen]]</f>
        <v>0</v>
      </c>
      <c r="AG165" s="83">
        <f>Ruimtestaat[[#This Row],[kosten / jaar weekend]]+Ruimtestaat[[#This Row],[kosten / jaar werkdagen]]</f>
        <v>0</v>
      </c>
      <c r="AH165" s="117"/>
      <c r="HL165" s="87"/>
    </row>
    <row r="166" spans="1:220" ht="15" customHeight="1">
      <c r="A166" s="136">
        <v>1</v>
      </c>
      <c r="B166" s="27" t="str">
        <f>VLOOKUP(Ruimtestaat[[#This Row],[Code]],Locaties[#All],2,FALSE)</f>
        <v>Amstelveen College</v>
      </c>
      <c r="C166" s="27" t="str">
        <f>VLOOKUP(Ruimtestaat[[#This Row],[Code]],Locaties[#All],4,FALSE)</f>
        <v>Sportlaan 27</v>
      </c>
      <c r="D166" s="27" t="str">
        <f>VLOOKUP(Ruimtestaat[[#This Row],[Code]],Locaties[#All],5,FALSE)</f>
        <v>1185 TB</v>
      </c>
      <c r="E166" s="27" t="str">
        <f>VLOOKUP(Ruimtestaat[[#This Row],[Code]],Locaties[#All],6,FALSE)</f>
        <v>Amstelveen</v>
      </c>
      <c r="F166" s="74"/>
      <c r="G166" s="27" t="s">
        <v>272</v>
      </c>
      <c r="H166" s="35">
        <v>1034</v>
      </c>
      <c r="I166" s="24" t="s">
        <v>560</v>
      </c>
      <c r="J166" s="27">
        <v>20</v>
      </c>
      <c r="K166" s="74" t="str">
        <f>VLOOKUP(J166,Ruimtegroepen[],2,FALSE)</f>
        <v>Niet in onderhoud</v>
      </c>
      <c r="M166" s="27"/>
      <c r="N166" s="107"/>
      <c r="O166" s="107">
        <v>15</v>
      </c>
      <c r="P166" s="118" t="str">
        <f>LEFT(VLOOKUP(Ruimtestaat[[#This Row],[Ruimte code]],Ruimtegroepen[#All],4,1),2)</f>
        <v/>
      </c>
      <c r="Q166" s="118"/>
      <c r="R166" s="108"/>
      <c r="S166" s="109"/>
      <c r="T166" s="110">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6" s="110">
        <f>IF(T166&gt;0,VLOOKUP($J166,Ruimtegroepen[],3,FALSE)*VLOOKUP($L166,Vloersoorten[],3,FALSE)*VLOOKUP($S166,Frequenties[],3,FALSE)*VLOOKUP($A166,Locaties[],3,FALSE),0)</f>
        <v>0</v>
      </c>
      <c r="V166" s="111">
        <f>Ruimtestaat[[#This Row],[Uitvoeringen werkdagen]]*Ruimtestaat[[#This Row],[Oppervlak (netto)]]</f>
        <v>0</v>
      </c>
      <c r="W166" s="112">
        <f>IF(U166&gt;0,Ruimtestaat[[#This Row],[Prest. (m2 /jaar) werkdagen]]/Ruimtestaat[[#This Row],[Norm (m2/uur) werkdagen]],0)</f>
        <v>0</v>
      </c>
      <c r="X166" s="113">
        <f>Ruimtestaat[[#This Row],[uren / jaar werkdagen]]*Tariefsopbouw!$E$35</f>
        <v>0</v>
      </c>
      <c r="Y166" s="110"/>
      <c r="Z166" s="114">
        <f>IF(Ruimtestaat[[#This Row],[Frequentie weekend]]&gt;0,VALUE(LEFT(Y166,1))*R166,0)</f>
        <v>0</v>
      </c>
      <c r="AA166" s="110">
        <f>IF($Z166&gt;0,VLOOKUP($J166,Ruimtegroepen[],3,FALSE)*VLOOKUP($L166,Vloersoorten[],3,FALSE)*VLOOKUP($Y166,Frequenties[],3,FALSE)*VLOOKUP($A137,Locaties[],3,FALSE),0)</f>
        <v>0</v>
      </c>
      <c r="AB166" s="112">
        <f>Ruimtestaat[[#This Row],[Uitvoeringen weekend]]*Ruimtestaat[[#This Row],[Oppervlak (netto)]]</f>
        <v>0</v>
      </c>
      <c r="AC166" s="115">
        <f>IF(AB166&gt;0,Ruimtestaat[[#This Row],[Prest. (m2 /jaar) weekend]]/Ruimtestaat[[#This Row],[Norm (m2/uur) weekend]],0)</f>
        <v>0</v>
      </c>
      <c r="AD166" s="116">
        <f>Ruimtestaat[[#This Row],[uren / jaar weekend]]*Tariefsopbouw!$D$40</f>
        <v>0</v>
      </c>
      <c r="AE166" s="82">
        <f>Ruimtestaat[[#This Row],[Prest. (m2 /jaar) weekend]]+Ruimtestaat[[#This Row],[Prest. (m2 /jaar) werkdagen]]</f>
        <v>0</v>
      </c>
      <c r="AF166" s="82">
        <f>Ruimtestaat[[#This Row],[uren / jaar weekend]]+Ruimtestaat[[#This Row],[uren / jaar werkdagen]]</f>
        <v>0</v>
      </c>
      <c r="AG166" s="83">
        <f>Ruimtestaat[[#This Row],[kosten / jaar weekend]]+Ruimtestaat[[#This Row],[kosten / jaar werkdagen]]</f>
        <v>0</v>
      </c>
      <c r="AH166" s="117"/>
      <c r="HL166" s="87"/>
    </row>
    <row r="167" spans="1:220" ht="15" customHeight="1">
      <c r="A167" s="136">
        <v>1</v>
      </c>
      <c r="B167" s="27" t="str">
        <f>VLOOKUP(Ruimtestaat[[#This Row],[Code]],Locaties[#All],2,FALSE)</f>
        <v>Amstelveen College</v>
      </c>
      <c r="C167" s="27" t="str">
        <f>VLOOKUP(Ruimtestaat[[#This Row],[Code]],Locaties[#All],4,FALSE)</f>
        <v>Sportlaan 27</v>
      </c>
      <c r="D167" s="27" t="str">
        <f>VLOOKUP(Ruimtestaat[[#This Row],[Code]],Locaties[#All],5,FALSE)</f>
        <v>1185 TB</v>
      </c>
      <c r="E167" s="27" t="str">
        <f>VLOOKUP(Ruimtestaat[[#This Row],[Code]],Locaties[#All],6,FALSE)</f>
        <v>Amstelveen</v>
      </c>
      <c r="F167" s="74"/>
      <c r="G167" s="27" t="s">
        <v>272</v>
      </c>
      <c r="H167" s="35">
        <v>1033</v>
      </c>
      <c r="I167" s="24" t="s">
        <v>565</v>
      </c>
      <c r="J167" s="27">
        <v>20</v>
      </c>
      <c r="K167" s="74" t="str">
        <f>VLOOKUP(J167,Ruimtegroepen[],2,FALSE)</f>
        <v>Niet in onderhoud</v>
      </c>
      <c r="M167" s="27"/>
      <c r="N167" s="107"/>
      <c r="O167" s="107">
        <v>21</v>
      </c>
      <c r="P167" s="118" t="str">
        <f>LEFT(VLOOKUP(Ruimtestaat[[#This Row],[Ruimte code]],Ruimtegroepen[#All],4,1),2)</f>
        <v/>
      </c>
      <c r="Q167" s="118"/>
      <c r="R167" s="108"/>
      <c r="S167" s="109"/>
      <c r="T167" s="110">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7" s="110">
        <f>IF(T167&gt;0,VLOOKUP($J167,Ruimtegroepen[],3,FALSE)*VLOOKUP($L167,Vloersoorten[],3,FALSE)*VLOOKUP($S167,Frequenties[],3,FALSE)*VLOOKUP($A167,Locaties[],3,FALSE),0)</f>
        <v>0</v>
      </c>
      <c r="V167" s="111">
        <f>Ruimtestaat[[#This Row],[Uitvoeringen werkdagen]]*Ruimtestaat[[#This Row],[Oppervlak (netto)]]</f>
        <v>0</v>
      </c>
      <c r="W167" s="112">
        <f>IF(U167&gt;0,Ruimtestaat[[#This Row],[Prest. (m2 /jaar) werkdagen]]/Ruimtestaat[[#This Row],[Norm (m2/uur) werkdagen]],0)</f>
        <v>0</v>
      </c>
      <c r="X167" s="113">
        <f>Ruimtestaat[[#This Row],[uren / jaar werkdagen]]*Tariefsopbouw!$E$35</f>
        <v>0</v>
      </c>
      <c r="Y167" s="110"/>
      <c r="Z167" s="114">
        <f>IF(Ruimtestaat[[#This Row],[Frequentie weekend]]&gt;0,VALUE(LEFT(Y167,1))*R167,0)</f>
        <v>0</v>
      </c>
      <c r="AA167" s="110">
        <f>IF($Z167&gt;0,VLOOKUP($J167,Ruimtegroepen[],3,FALSE)*VLOOKUP($L167,Vloersoorten[],3,FALSE)*VLOOKUP($Y167,Frequenties[],3,FALSE)*VLOOKUP($A138,Locaties[],3,FALSE),0)</f>
        <v>0</v>
      </c>
      <c r="AB167" s="112">
        <f>Ruimtestaat[[#This Row],[Uitvoeringen weekend]]*Ruimtestaat[[#This Row],[Oppervlak (netto)]]</f>
        <v>0</v>
      </c>
      <c r="AC167" s="115">
        <f>IF(AB167&gt;0,Ruimtestaat[[#This Row],[Prest. (m2 /jaar) weekend]]/Ruimtestaat[[#This Row],[Norm (m2/uur) weekend]],0)</f>
        <v>0</v>
      </c>
      <c r="AD167" s="116">
        <f>Ruimtestaat[[#This Row],[uren / jaar weekend]]*Tariefsopbouw!$D$40</f>
        <v>0</v>
      </c>
      <c r="AE167" s="82">
        <f>Ruimtestaat[[#This Row],[Prest. (m2 /jaar) weekend]]+Ruimtestaat[[#This Row],[Prest. (m2 /jaar) werkdagen]]</f>
        <v>0</v>
      </c>
      <c r="AF167" s="82">
        <f>Ruimtestaat[[#This Row],[uren / jaar weekend]]+Ruimtestaat[[#This Row],[uren / jaar werkdagen]]</f>
        <v>0</v>
      </c>
      <c r="AG167" s="83">
        <f>Ruimtestaat[[#This Row],[kosten / jaar weekend]]+Ruimtestaat[[#This Row],[kosten / jaar werkdagen]]</f>
        <v>0</v>
      </c>
      <c r="AH167" s="117"/>
      <c r="HL167" s="87"/>
    </row>
    <row r="168" spans="1:220" ht="15" customHeight="1">
      <c r="A168" s="136">
        <v>1</v>
      </c>
      <c r="B168" s="27" t="str">
        <f>VLOOKUP(Ruimtestaat[[#This Row],[Code]],Locaties[#All],2,FALSE)</f>
        <v>Amstelveen College</v>
      </c>
      <c r="C168" s="27" t="str">
        <f>VLOOKUP(Ruimtestaat[[#This Row],[Code]],Locaties[#All],4,FALSE)</f>
        <v>Sportlaan 27</v>
      </c>
      <c r="D168" s="27" t="str">
        <f>VLOOKUP(Ruimtestaat[[#This Row],[Code]],Locaties[#All],5,FALSE)</f>
        <v>1185 TB</v>
      </c>
      <c r="E168" s="27" t="str">
        <f>VLOOKUP(Ruimtestaat[[#This Row],[Code]],Locaties[#All],6,FALSE)</f>
        <v>Amstelveen</v>
      </c>
      <c r="F168" s="74"/>
      <c r="G168" s="27" t="s">
        <v>272</v>
      </c>
      <c r="H168" s="35" t="s">
        <v>562</v>
      </c>
      <c r="I168" s="24" t="s">
        <v>563</v>
      </c>
      <c r="J168" s="27">
        <v>20</v>
      </c>
      <c r="K168" s="74" t="str">
        <f>VLOOKUP(J168,Ruimtegroepen[],2,FALSE)</f>
        <v>Niet in onderhoud</v>
      </c>
      <c r="M168" s="27"/>
      <c r="N168" s="107"/>
      <c r="O168" s="107">
        <v>4</v>
      </c>
      <c r="P168" s="118" t="str">
        <f>LEFT(VLOOKUP(Ruimtestaat[[#This Row],[Ruimte code]],Ruimtegroepen[#All],4,1),2)</f>
        <v/>
      </c>
      <c r="Q168" s="118"/>
      <c r="R168" s="108"/>
      <c r="S168" s="109"/>
      <c r="T168" s="110">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68" s="110">
        <f>IF(T168&gt;0,VLOOKUP($J168,Ruimtegroepen[],3,FALSE)*VLOOKUP($L168,Vloersoorten[],3,FALSE)*VLOOKUP($S168,Frequenties[],3,FALSE)*VLOOKUP($A168,Locaties[],3,FALSE),0)</f>
        <v>0</v>
      </c>
      <c r="V168" s="111">
        <f>Ruimtestaat[[#This Row],[Uitvoeringen werkdagen]]*Ruimtestaat[[#This Row],[Oppervlak (netto)]]</f>
        <v>0</v>
      </c>
      <c r="W168" s="112">
        <f>IF(U168&gt;0,Ruimtestaat[[#This Row],[Prest. (m2 /jaar) werkdagen]]/Ruimtestaat[[#This Row],[Norm (m2/uur) werkdagen]],0)</f>
        <v>0</v>
      </c>
      <c r="X168" s="113">
        <f>Ruimtestaat[[#This Row],[uren / jaar werkdagen]]*Tariefsopbouw!$E$35</f>
        <v>0</v>
      </c>
      <c r="Y168" s="110"/>
      <c r="Z168" s="114">
        <f>IF(Ruimtestaat[[#This Row],[Frequentie weekend]]&gt;0,VALUE(LEFT(Y168,1))*R168,0)</f>
        <v>0</v>
      </c>
      <c r="AA168" s="110">
        <f>IF($Z168&gt;0,VLOOKUP($J168,Ruimtegroepen[],3,FALSE)*VLOOKUP($L168,Vloersoorten[],3,FALSE)*VLOOKUP($Y168,Frequenties[],3,FALSE)*VLOOKUP($A139,Locaties[],3,FALSE),0)</f>
        <v>0</v>
      </c>
      <c r="AB168" s="112">
        <f>Ruimtestaat[[#This Row],[Uitvoeringen weekend]]*Ruimtestaat[[#This Row],[Oppervlak (netto)]]</f>
        <v>0</v>
      </c>
      <c r="AC168" s="115">
        <f>IF(AB168&gt;0,Ruimtestaat[[#This Row],[Prest. (m2 /jaar) weekend]]/Ruimtestaat[[#This Row],[Norm (m2/uur) weekend]],0)</f>
        <v>0</v>
      </c>
      <c r="AD168" s="116">
        <f>Ruimtestaat[[#This Row],[uren / jaar weekend]]*Tariefsopbouw!$D$40</f>
        <v>0</v>
      </c>
      <c r="AE168" s="82">
        <f>Ruimtestaat[[#This Row],[Prest. (m2 /jaar) weekend]]+Ruimtestaat[[#This Row],[Prest. (m2 /jaar) werkdagen]]</f>
        <v>0</v>
      </c>
      <c r="AF168" s="82">
        <f>Ruimtestaat[[#This Row],[uren / jaar weekend]]+Ruimtestaat[[#This Row],[uren / jaar werkdagen]]</f>
        <v>0</v>
      </c>
      <c r="AG168" s="83">
        <f>Ruimtestaat[[#This Row],[kosten / jaar weekend]]+Ruimtestaat[[#This Row],[kosten / jaar werkdagen]]</f>
        <v>0</v>
      </c>
      <c r="AH168" s="117"/>
      <c r="HL168" s="87"/>
    </row>
    <row r="169" spans="1:220" ht="15" customHeight="1">
      <c r="A169" s="136">
        <v>1</v>
      </c>
      <c r="B169" s="27" t="str">
        <f>VLOOKUP(Ruimtestaat[[#This Row],[Code]],Locaties[#All],2,FALSE)</f>
        <v>Amstelveen College</v>
      </c>
      <c r="C169" s="27" t="str">
        <f>VLOOKUP(Ruimtestaat[[#This Row],[Code]],Locaties[#All],4,FALSE)</f>
        <v>Sportlaan 27</v>
      </c>
      <c r="D169" s="27" t="str">
        <f>VLOOKUP(Ruimtestaat[[#This Row],[Code]],Locaties[#All],5,FALSE)</f>
        <v>1185 TB</v>
      </c>
      <c r="E169" s="27" t="str">
        <f>VLOOKUP(Ruimtestaat[[#This Row],[Code]],Locaties[#All],6,FALSE)</f>
        <v>Amstelveen</v>
      </c>
      <c r="F169" s="74"/>
      <c r="G169" s="27" t="s">
        <v>272</v>
      </c>
      <c r="H169" s="35">
        <v>1039</v>
      </c>
      <c r="I169" s="24" t="s">
        <v>564</v>
      </c>
      <c r="J169" s="27">
        <v>2</v>
      </c>
      <c r="K169" s="74" t="str">
        <f>VLOOKUP(J169,Ruimtegroepen[],2,FALSE)</f>
        <v>Kantoren</v>
      </c>
      <c r="L169" s="27" t="s">
        <v>113</v>
      </c>
      <c r="M169" s="27" t="s">
        <v>39</v>
      </c>
      <c r="N169" s="107">
        <v>12</v>
      </c>
      <c r="O169" s="107"/>
      <c r="P169" s="118" t="str">
        <f>LEFT(VLOOKUP(Ruimtestaat[[#This Row],[Ruimte code]],Ruimtegroepen[#All],4,1),2)</f>
        <v xml:space="preserve">B </v>
      </c>
      <c r="Q169" s="118"/>
      <c r="R169" s="108">
        <v>42</v>
      </c>
      <c r="S169" s="109" t="s">
        <v>15</v>
      </c>
      <c r="T169" s="110">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69" s="110">
        <f>IF(T169&gt;0,VLOOKUP($J169,Ruimtegroepen[],3,FALSE)*VLOOKUP($L169,Vloersoorten[],3,FALSE)*VLOOKUP($S169,Frequenties[],3,FALSE)*VLOOKUP($A169,Locaties[],3,FALSE),0)</f>
        <v>0</v>
      </c>
      <c r="V169" s="111">
        <f>Ruimtestaat[[#This Row],[Uitvoeringen werkdagen]]*Ruimtestaat[[#This Row],[Oppervlak (netto)]]</f>
        <v>504</v>
      </c>
      <c r="W169" s="112">
        <f>IF(U169&gt;0,Ruimtestaat[[#This Row],[Prest. (m2 /jaar) werkdagen]]/Ruimtestaat[[#This Row],[Norm (m2/uur) werkdagen]],0)</f>
        <v>0</v>
      </c>
      <c r="X169" s="113">
        <f>Ruimtestaat[[#This Row],[uren / jaar werkdagen]]*Tariefsopbouw!$E$35</f>
        <v>0</v>
      </c>
      <c r="Y169" s="110"/>
      <c r="Z169" s="114">
        <f>IF(Ruimtestaat[[#This Row],[Frequentie weekend]]&gt;0,VALUE(LEFT(Y169,1))*R169,0)</f>
        <v>0</v>
      </c>
      <c r="AA169" s="110">
        <f>IF($Z169&gt;0,VLOOKUP($J169,Ruimtegroepen[],3,FALSE)*VLOOKUP($L169,Vloersoorten[],3,FALSE)*VLOOKUP($Y169,Frequenties[],3,FALSE)*VLOOKUP($A140,Locaties[],3,FALSE),0)</f>
        <v>0</v>
      </c>
      <c r="AB169" s="112">
        <f>Ruimtestaat[[#This Row],[Uitvoeringen weekend]]*Ruimtestaat[[#This Row],[Oppervlak (netto)]]</f>
        <v>0</v>
      </c>
      <c r="AC169" s="115">
        <f>IF(AB169&gt;0,Ruimtestaat[[#This Row],[Prest. (m2 /jaar) weekend]]/Ruimtestaat[[#This Row],[Norm (m2/uur) weekend]],0)</f>
        <v>0</v>
      </c>
      <c r="AD169" s="116">
        <f>Ruimtestaat[[#This Row],[uren / jaar weekend]]*Tariefsopbouw!$D$40</f>
        <v>0</v>
      </c>
      <c r="AE169" s="82">
        <f>Ruimtestaat[[#This Row],[Prest. (m2 /jaar) weekend]]+Ruimtestaat[[#This Row],[Prest. (m2 /jaar) werkdagen]]</f>
        <v>504</v>
      </c>
      <c r="AF169" s="82">
        <f>Ruimtestaat[[#This Row],[uren / jaar weekend]]+Ruimtestaat[[#This Row],[uren / jaar werkdagen]]</f>
        <v>0</v>
      </c>
      <c r="AG169" s="83">
        <f>Ruimtestaat[[#This Row],[kosten / jaar weekend]]+Ruimtestaat[[#This Row],[kosten / jaar werkdagen]]</f>
        <v>0</v>
      </c>
      <c r="AH169" s="117"/>
      <c r="HL169" s="87"/>
    </row>
    <row r="170" spans="1:220" ht="15" customHeight="1">
      <c r="A170" s="136">
        <v>1</v>
      </c>
      <c r="B170" s="27" t="str">
        <f>VLOOKUP(Ruimtestaat[[#This Row],[Code]],Locaties[#All],2,FALSE)</f>
        <v>Amstelveen College</v>
      </c>
      <c r="C170" s="27" t="str">
        <f>VLOOKUP(Ruimtestaat[[#This Row],[Code]],Locaties[#All],4,FALSE)</f>
        <v>Sportlaan 27</v>
      </c>
      <c r="D170" s="27" t="str">
        <f>VLOOKUP(Ruimtestaat[[#This Row],[Code]],Locaties[#All],5,FALSE)</f>
        <v>1185 TB</v>
      </c>
      <c r="E170" s="27" t="str">
        <f>VLOOKUP(Ruimtestaat[[#This Row],[Code]],Locaties[#All],6,FALSE)</f>
        <v>Amstelveen</v>
      </c>
      <c r="F170" s="74"/>
      <c r="G170" s="27" t="s">
        <v>272</v>
      </c>
      <c r="H170" s="35">
        <v>1038</v>
      </c>
      <c r="I170" s="24" t="s">
        <v>566</v>
      </c>
      <c r="J170" s="27">
        <v>2</v>
      </c>
      <c r="K170" s="74" t="str">
        <f>VLOOKUP(J170,Ruimtegroepen[],2,FALSE)</f>
        <v>Kantoren</v>
      </c>
      <c r="L170" s="27" t="s">
        <v>113</v>
      </c>
      <c r="M170" s="27" t="s">
        <v>39</v>
      </c>
      <c r="N170" s="107">
        <v>20</v>
      </c>
      <c r="O170" s="107"/>
      <c r="P170" s="118" t="str">
        <f>LEFT(VLOOKUP(Ruimtestaat[[#This Row],[Ruimte code]],Ruimtegroepen[#All],4,1),2)</f>
        <v xml:space="preserve">B </v>
      </c>
      <c r="Q170" s="118"/>
      <c r="R170" s="108">
        <v>42</v>
      </c>
      <c r="S170" s="109" t="s">
        <v>15</v>
      </c>
      <c r="T170" s="110">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70" s="110">
        <f>IF(T170&gt;0,VLOOKUP($J170,Ruimtegroepen[],3,FALSE)*VLOOKUP($L170,Vloersoorten[],3,FALSE)*VLOOKUP($S170,Frequenties[],3,FALSE)*VLOOKUP($A170,Locaties[],3,FALSE),0)</f>
        <v>0</v>
      </c>
      <c r="V170" s="111">
        <f>Ruimtestaat[[#This Row],[Uitvoeringen werkdagen]]*Ruimtestaat[[#This Row],[Oppervlak (netto)]]</f>
        <v>840</v>
      </c>
      <c r="W170" s="112">
        <f>IF(U170&gt;0,Ruimtestaat[[#This Row],[Prest. (m2 /jaar) werkdagen]]/Ruimtestaat[[#This Row],[Norm (m2/uur) werkdagen]],0)</f>
        <v>0</v>
      </c>
      <c r="X170" s="113">
        <f>Ruimtestaat[[#This Row],[uren / jaar werkdagen]]*Tariefsopbouw!$E$35</f>
        <v>0</v>
      </c>
      <c r="Y170" s="110"/>
      <c r="Z170" s="114">
        <f>IF(Ruimtestaat[[#This Row],[Frequentie weekend]]&gt;0,VALUE(LEFT(Y170,1))*R170,0)</f>
        <v>0</v>
      </c>
      <c r="AA170" s="110">
        <f>IF($Z170&gt;0,VLOOKUP($J170,Ruimtegroepen[],3,FALSE)*VLOOKUP($L170,Vloersoorten[],3,FALSE)*VLOOKUP($Y170,Frequenties[],3,FALSE)*VLOOKUP($A141,Locaties[],3,FALSE),0)</f>
        <v>0</v>
      </c>
      <c r="AB170" s="112">
        <f>Ruimtestaat[[#This Row],[Uitvoeringen weekend]]*Ruimtestaat[[#This Row],[Oppervlak (netto)]]</f>
        <v>0</v>
      </c>
      <c r="AC170" s="115">
        <f>IF(AB170&gt;0,Ruimtestaat[[#This Row],[Prest. (m2 /jaar) weekend]]/Ruimtestaat[[#This Row],[Norm (m2/uur) weekend]],0)</f>
        <v>0</v>
      </c>
      <c r="AD170" s="116">
        <f>Ruimtestaat[[#This Row],[uren / jaar weekend]]*Tariefsopbouw!$D$40</f>
        <v>0</v>
      </c>
      <c r="AE170" s="82">
        <f>Ruimtestaat[[#This Row],[Prest. (m2 /jaar) weekend]]+Ruimtestaat[[#This Row],[Prest. (m2 /jaar) werkdagen]]</f>
        <v>840</v>
      </c>
      <c r="AF170" s="82">
        <f>Ruimtestaat[[#This Row],[uren / jaar weekend]]+Ruimtestaat[[#This Row],[uren / jaar werkdagen]]</f>
        <v>0</v>
      </c>
      <c r="AG170" s="83">
        <f>Ruimtestaat[[#This Row],[kosten / jaar weekend]]+Ruimtestaat[[#This Row],[kosten / jaar werkdagen]]</f>
        <v>0</v>
      </c>
      <c r="AH170" s="117"/>
      <c r="HL170" s="87"/>
    </row>
    <row r="171" spans="1:220" ht="15" customHeight="1">
      <c r="A171" s="136">
        <v>1</v>
      </c>
      <c r="B171" s="27" t="str">
        <f>VLOOKUP(Ruimtestaat[[#This Row],[Code]],Locaties[#All],2,FALSE)</f>
        <v>Amstelveen College</v>
      </c>
      <c r="C171" s="27" t="str">
        <f>VLOOKUP(Ruimtestaat[[#This Row],[Code]],Locaties[#All],4,FALSE)</f>
        <v>Sportlaan 27</v>
      </c>
      <c r="D171" s="27" t="str">
        <f>VLOOKUP(Ruimtestaat[[#This Row],[Code]],Locaties[#All],5,FALSE)</f>
        <v>1185 TB</v>
      </c>
      <c r="E171" s="27" t="str">
        <f>VLOOKUP(Ruimtestaat[[#This Row],[Code]],Locaties[#All],6,FALSE)</f>
        <v>Amstelveen</v>
      </c>
      <c r="F171" s="74"/>
      <c r="G171" s="27" t="s">
        <v>272</v>
      </c>
      <c r="H171" s="35" t="s">
        <v>567</v>
      </c>
      <c r="I171" s="24" t="s">
        <v>568</v>
      </c>
      <c r="J171" s="27">
        <v>2</v>
      </c>
      <c r="K171" s="74" t="str">
        <f>VLOOKUP(J171,Ruimtegroepen[],2,FALSE)</f>
        <v>Kantoren</v>
      </c>
      <c r="L171" s="27" t="s">
        <v>113</v>
      </c>
      <c r="M171" s="27" t="s">
        <v>39</v>
      </c>
      <c r="N171" s="107">
        <v>35</v>
      </c>
      <c r="O171" s="107"/>
      <c r="P171" s="118" t="str">
        <f>LEFT(VLOOKUP(Ruimtestaat[[#This Row],[Ruimte code]],Ruimtegroepen[#All],4,1),2)</f>
        <v xml:space="preserve">B </v>
      </c>
      <c r="Q171" s="118"/>
      <c r="R171" s="108">
        <v>42</v>
      </c>
      <c r="S171" s="109" t="s">
        <v>15</v>
      </c>
      <c r="T171" s="110">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71" s="110">
        <f>IF(T171&gt;0,VLOOKUP($J171,Ruimtegroepen[],3,FALSE)*VLOOKUP($L171,Vloersoorten[],3,FALSE)*VLOOKUP($S171,Frequenties[],3,FALSE)*VLOOKUP($A171,Locaties[],3,FALSE),0)</f>
        <v>0</v>
      </c>
      <c r="V171" s="111">
        <f>Ruimtestaat[[#This Row],[Uitvoeringen werkdagen]]*Ruimtestaat[[#This Row],[Oppervlak (netto)]]</f>
        <v>1470</v>
      </c>
      <c r="W171" s="112">
        <f>IF(U171&gt;0,Ruimtestaat[[#This Row],[Prest. (m2 /jaar) werkdagen]]/Ruimtestaat[[#This Row],[Norm (m2/uur) werkdagen]],0)</f>
        <v>0</v>
      </c>
      <c r="X171" s="113">
        <f>Ruimtestaat[[#This Row],[uren / jaar werkdagen]]*Tariefsopbouw!$E$35</f>
        <v>0</v>
      </c>
      <c r="Y171" s="110"/>
      <c r="Z171" s="114">
        <f>IF(Ruimtestaat[[#This Row],[Frequentie weekend]]&gt;0,VALUE(LEFT(Y171,1))*R171,0)</f>
        <v>0</v>
      </c>
      <c r="AA171" s="110">
        <f>IF($Z171&gt;0,VLOOKUP($J171,Ruimtegroepen[],3,FALSE)*VLOOKUP($L171,Vloersoorten[],3,FALSE)*VLOOKUP($Y171,Frequenties[],3,FALSE)*VLOOKUP($A142,Locaties[],3,FALSE),0)</f>
        <v>0</v>
      </c>
      <c r="AB171" s="112">
        <f>Ruimtestaat[[#This Row],[Uitvoeringen weekend]]*Ruimtestaat[[#This Row],[Oppervlak (netto)]]</f>
        <v>0</v>
      </c>
      <c r="AC171" s="115">
        <f>IF(AB171&gt;0,Ruimtestaat[[#This Row],[Prest. (m2 /jaar) weekend]]/Ruimtestaat[[#This Row],[Norm (m2/uur) weekend]],0)</f>
        <v>0</v>
      </c>
      <c r="AD171" s="116">
        <f>Ruimtestaat[[#This Row],[uren / jaar weekend]]*Tariefsopbouw!$D$40</f>
        <v>0</v>
      </c>
      <c r="AE171" s="82">
        <f>Ruimtestaat[[#This Row],[Prest. (m2 /jaar) weekend]]+Ruimtestaat[[#This Row],[Prest. (m2 /jaar) werkdagen]]</f>
        <v>1470</v>
      </c>
      <c r="AF171" s="82">
        <f>Ruimtestaat[[#This Row],[uren / jaar weekend]]+Ruimtestaat[[#This Row],[uren / jaar werkdagen]]</f>
        <v>0</v>
      </c>
      <c r="AG171" s="83">
        <f>Ruimtestaat[[#This Row],[kosten / jaar weekend]]+Ruimtestaat[[#This Row],[kosten / jaar werkdagen]]</f>
        <v>0</v>
      </c>
      <c r="AH171" s="117"/>
      <c r="HL171" s="87"/>
    </row>
    <row r="172" spans="1:220" ht="15" customHeight="1">
      <c r="A172" s="136">
        <v>1</v>
      </c>
      <c r="B172" s="27" t="str">
        <f>VLOOKUP(Ruimtestaat[[#This Row],[Code]],Locaties[#All],2,FALSE)</f>
        <v>Amstelveen College</v>
      </c>
      <c r="C172" s="27" t="str">
        <f>VLOOKUP(Ruimtestaat[[#This Row],[Code]],Locaties[#All],4,FALSE)</f>
        <v>Sportlaan 27</v>
      </c>
      <c r="D172" s="27" t="str">
        <f>VLOOKUP(Ruimtestaat[[#This Row],[Code]],Locaties[#All],5,FALSE)</f>
        <v>1185 TB</v>
      </c>
      <c r="E172" s="27" t="str">
        <f>VLOOKUP(Ruimtestaat[[#This Row],[Code]],Locaties[#All],6,FALSE)</f>
        <v>Amstelveen</v>
      </c>
      <c r="F172" s="74"/>
      <c r="G172" s="27" t="s">
        <v>272</v>
      </c>
      <c r="H172" s="35">
        <v>1035</v>
      </c>
      <c r="I172" s="24" t="s">
        <v>561</v>
      </c>
      <c r="J172" s="27">
        <v>3</v>
      </c>
      <c r="K172" s="74" t="str">
        <f>VLOOKUP(J172,Ruimtegroepen[],2,FALSE)</f>
        <v>Reproruimte</v>
      </c>
      <c r="L172" s="27" t="s">
        <v>114</v>
      </c>
      <c r="M172" s="27" t="s">
        <v>139</v>
      </c>
      <c r="N172" s="107">
        <v>28</v>
      </c>
      <c r="O172" s="107"/>
      <c r="P172" s="118" t="str">
        <f>LEFT(VLOOKUP(Ruimtestaat[[#This Row],[Ruimte code]],Ruimtegroepen[#All],4,1),2)</f>
        <v xml:space="preserve">V </v>
      </c>
      <c r="Q172" s="118"/>
      <c r="R172" s="108">
        <v>40</v>
      </c>
      <c r="S172" s="109" t="s">
        <v>15</v>
      </c>
      <c r="T172" s="110">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72" s="110">
        <f>IF(T172&gt;0,VLOOKUP($J172,Ruimtegroepen[],3,FALSE)*VLOOKUP($L172,Vloersoorten[],3,FALSE)*VLOOKUP($S172,Frequenties[],3,FALSE)*VLOOKUP($A172,Locaties[],3,FALSE),0)</f>
        <v>0</v>
      </c>
      <c r="V172" s="111">
        <f>Ruimtestaat[[#This Row],[Uitvoeringen werkdagen]]*Ruimtestaat[[#This Row],[Oppervlak (netto)]]</f>
        <v>1120</v>
      </c>
      <c r="W172" s="112">
        <f>IF(U172&gt;0,Ruimtestaat[[#This Row],[Prest. (m2 /jaar) werkdagen]]/Ruimtestaat[[#This Row],[Norm (m2/uur) werkdagen]],0)</f>
        <v>0</v>
      </c>
      <c r="X172" s="113">
        <f>Ruimtestaat[[#This Row],[uren / jaar werkdagen]]*Tariefsopbouw!$E$35</f>
        <v>0</v>
      </c>
      <c r="Y172" s="110"/>
      <c r="Z172" s="114">
        <f>IF(Ruimtestaat[[#This Row],[Frequentie weekend]]&gt;0,VALUE(LEFT(Y172,1))*R172,0)</f>
        <v>0</v>
      </c>
      <c r="AA172" s="110">
        <f>IF($Z172&gt;0,VLOOKUP($J172,Ruimtegroepen[],3,FALSE)*VLOOKUP($L172,Vloersoorten[],3,FALSE)*VLOOKUP($Y172,Frequenties[],3,FALSE)*VLOOKUP($A143,Locaties[],3,FALSE),0)</f>
        <v>0</v>
      </c>
      <c r="AB172" s="112">
        <f>Ruimtestaat[[#This Row],[Uitvoeringen weekend]]*Ruimtestaat[[#This Row],[Oppervlak (netto)]]</f>
        <v>0</v>
      </c>
      <c r="AC172" s="115">
        <f>IF(AB172&gt;0,Ruimtestaat[[#This Row],[Prest. (m2 /jaar) weekend]]/Ruimtestaat[[#This Row],[Norm (m2/uur) weekend]],0)</f>
        <v>0</v>
      </c>
      <c r="AD172" s="116">
        <f>Ruimtestaat[[#This Row],[uren / jaar weekend]]*Tariefsopbouw!$D$40</f>
        <v>0</v>
      </c>
      <c r="AE172" s="82">
        <f>Ruimtestaat[[#This Row],[Prest. (m2 /jaar) weekend]]+Ruimtestaat[[#This Row],[Prest. (m2 /jaar) werkdagen]]</f>
        <v>1120</v>
      </c>
      <c r="AF172" s="82">
        <f>Ruimtestaat[[#This Row],[uren / jaar weekend]]+Ruimtestaat[[#This Row],[uren / jaar werkdagen]]</f>
        <v>0</v>
      </c>
      <c r="AG172" s="83">
        <f>Ruimtestaat[[#This Row],[kosten / jaar weekend]]+Ruimtestaat[[#This Row],[kosten / jaar werkdagen]]</f>
        <v>0</v>
      </c>
      <c r="AH172" s="117"/>
      <c r="HL172" s="87"/>
    </row>
    <row r="173" spans="1:220" ht="15" customHeight="1">
      <c r="A173" s="136">
        <v>1</v>
      </c>
      <c r="B173" s="27" t="str">
        <f>VLOOKUP(Ruimtestaat[[#This Row],[Code]],Locaties[#All],2,FALSE)</f>
        <v>Amstelveen College</v>
      </c>
      <c r="C173" s="27" t="str">
        <f>VLOOKUP(Ruimtestaat[[#This Row],[Code]],Locaties[#All],4,FALSE)</f>
        <v>Sportlaan 27</v>
      </c>
      <c r="D173" s="27" t="str">
        <f>VLOOKUP(Ruimtestaat[[#This Row],[Code]],Locaties[#All],5,FALSE)</f>
        <v>1185 TB</v>
      </c>
      <c r="E173" s="27" t="str">
        <f>VLOOKUP(Ruimtestaat[[#This Row],[Code]],Locaties[#All],6,FALSE)</f>
        <v>Amstelveen</v>
      </c>
      <c r="F173" s="74"/>
      <c r="G173" s="27" t="s">
        <v>273</v>
      </c>
      <c r="H173" s="27" t="s">
        <v>276</v>
      </c>
      <c r="I173" s="24" t="s">
        <v>371</v>
      </c>
      <c r="J173" s="27">
        <v>16</v>
      </c>
      <c r="K173" s="74" t="str">
        <f>VLOOKUP(J173,Ruimtegroepen[],2,FALSE)</f>
        <v>Leslokalen theorie</v>
      </c>
      <c r="L173" s="27" t="s">
        <v>114</v>
      </c>
      <c r="M173" s="27" t="s">
        <v>139</v>
      </c>
      <c r="N173" s="107">
        <v>64.599999999999994</v>
      </c>
      <c r="O173" s="107"/>
      <c r="P173" s="118" t="str">
        <f>LEFT(VLOOKUP(Ruimtestaat[[#This Row],[Ruimte code]],Ruimtegroepen[#All],4,1),2)</f>
        <v xml:space="preserve">L </v>
      </c>
      <c r="Q173" s="118"/>
      <c r="R173" s="108">
        <v>40</v>
      </c>
      <c r="S173" s="109" t="s">
        <v>18</v>
      </c>
      <c r="T173" s="110">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73" s="110">
        <f>IF(T173&gt;0,VLOOKUP($J173,Ruimtegroepen[],3,FALSE)*VLOOKUP($L173,Vloersoorten[],3,FALSE)*VLOOKUP($S173,Frequenties[],3,FALSE)*VLOOKUP($A173,Locaties[],3,FALSE),0)</f>
        <v>0</v>
      </c>
      <c r="V173" s="111">
        <f>Ruimtestaat[[#This Row],[Uitvoeringen werkdagen]]*Ruimtestaat[[#This Row],[Oppervlak (netto)]]</f>
        <v>7751.9999999999991</v>
      </c>
      <c r="W173" s="112">
        <f>IF(U173&gt;0,Ruimtestaat[[#This Row],[Prest. (m2 /jaar) werkdagen]]/Ruimtestaat[[#This Row],[Norm (m2/uur) werkdagen]],0)</f>
        <v>0</v>
      </c>
      <c r="X173" s="113">
        <f>Ruimtestaat[[#This Row],[uren / jaar werkdagen]]*Tariefsopbouw!$E$35</f>
        <v>0</v>
      </c>
      <c r="Y173" s="110"/>
      <c r="Z173" s="114">
        <f>IF(Ruimtestaat[[#This Row],[Frequentie weekend]]&gt;0,VALUE(LEFT(Y173,1))*R173,0)</f>
        <v>0</v>
      </c>
      <c r="AA173" s="110">
        <f>IF($Z173&gt;0,VLOOKUP($J173,Ruimtegroepen[],3,FALSE)*VLOOKUP($L173,Vloersoorten[],3,FALSE)*VLOOKUP($Y173,Frequenties[],3,FALSE)*VLOOKUP(#REF!,Locaties[],3,FALSE),0)</f>
        <v>0</v>
      </c>
      <c r="AB173" s="112">
        <f>Ruimtestaat[[#This Row],[Uitvoeringen weekend]]*Ruimtestaat[[#This Row],[Oppervlak (netto)]]</f>
        <v>0</v>
      </c>
      <c r="AC173" s="115">
        <f>IF(AB173&gt;0,Ruimtestaat[[#This Row],[Prest. (m2 /jaar) weekend]]/Ruimtestaat[[#This Row],[Norm (m2/uur) weekend]],0)</f>
        <v>0</v>
      </c>
      <c r="AD173" s="116">
        <f>Ruimtestaat[[#This Row],[uren / jaar weekend]]*Tariefsopbouw!$D$40</f>
        <v>0</v>
      </c>
      <c r="AE173" s="82">
        <f>Ruimtestaat[[#This Row],[Prest. (m2 /jaar) weekend]]+Ruimtestaat[[#This Row],[Prest. (m2 /jaar) werkdagen]]</f>
        <v>7751.9999999999991</v>
      </c>
      <c r="AF173" s="82">
        <f>Ruimtestaat[[#This Row],[uren / jaar weekend]]+Ruimtestaat[[#This Row],[uren / jaar werkdagen]]</f>
        <v>0</v>
      </c>
      <c r="AG173" s="83">
        <f>Ruimtestaat[[#This Row],[kosten / jaar weekend]]+Ruimtestaat[[#This Row],[kosten / jaar werkdagen]]</f>
        <v>0</v>
      </c>
      <c r="AH173" s="117"/>
      <c r="HL173" s="87"/>
    </row>
    <row r="174" spans="1:220" ht="15" customHeight="1">
      <c r="A174" s="136">
        <v>1</v>
      </c>
      <c r="B174" s="27" t="str">
        <f>VLOOKUP(Ruimtestaat[[#This Row],[Code]],Locaties[#All],2,FALSE)</f>
        <v>Amstelveen College</v>
      </c>
      <c r="C174" s="27" t="str">
        <f>VLOOKUP(Ruimtestaat[[#This Row],[Code]],Locaties[#All],4,FALSE)</f>
        <v>Sportlaan 27</v>
      </c>
      <c r="D174" s="27" t="str">
        <f>VLOOKUP(Ruimtestaat[[#This Row],[Code]],Locaties[#All],5,FALSE)</f>
        <v>1185 TB</v>
      </c>
      <c r="E174" s="27" t="str">
        <f>VLOOKUP(Ruimtestaat[[#This Row],[Code]],Locaties[#All],6,FALSE)</f>
        <v>Amstelveen</v>
      </c>
      <c r="F174" s="74"/>
      <c r="G174" s="27" t="s">
        <v>273</v>
      </c>
      <c r="H174" s="27" t="s">
        <v>277</v>
      </c>
      <c r="I174" s="24" t="s">
        <v>371</v>
      </c>
      <c r="J174" s="27">
        <v>16</v>
      </c>
      <c r="K174" s="74" t="str">
        <f>VLOOKUP(J174,Ruimtegroepen[],2,FALSE)</f>
        <v>Leslokalen theorie</v>
      </c>
      <c r="L174" s="27" t="s">
        <v>114</v>
      </c>
      <c r="M174" s="27" t="s">
        <v>139</v>
      </c>
      <c r="N174" s="107">
        <v>56.5</v>
      </c>
      <c r="O174" s="107"/>
      <c r="P174" s="118" t="str">
        <f>LEFT(VLOOKUP(Ruimtestaat[[#This Row],[Ruimte code]],Ruimtegroepen[#All],4,1),2)</f>
        <v xml:space="preserve">L </v>
      </c>
      <c r="Q174" s="118"/>
      <c r="R174" s="108">
        <v>40</v>
      </c>
      <c r="S174" s="109" t="s">
        <v>18</v>
      </c>
      <c r="T174" s="110">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74" s="110">
        <f>IF(T174&gt;0,VLOOKUP($J174,Ruimtegroepen[],3,FALSE)*VLOOKUP($L174,Vloersoorten[],3,FALSE)*VLOOKUP($S174,Frequenties[],3,FALSE)*VLOOKUP($A174,Locaties[],3,FALSE),0)</f>
        <v>0</v>
      </c>
      <c r="V174" s="111">
        <f>Ruimtestaat[[#This Row],[Uitvoeringen werkdagen]]*Ruimtestaat[[#This Row],[Oppervlak (netto)]]</f>
        <v>6780</v>
      </c>
      <c r="W174" s="112">
        <f>IF(U174&gt;0,Ruimtestaat[[#This Row],[Prest. (m2 /jaar) werkdagen]]/Ruimtestaat[[#This Row],[Norm (m2/uur) werkdagen]],0)</f>
        <v>0</v>
      </c>
      <c r="X174" s="113">
        <f>Ruimtestaat[[#This Row],[uren / jaar werkdagen]]*Tariefsopbouw!$E$35</f>
        <v>0</v>
      </c>
      <c r="Y174" s="110"/>
      <c r="Z174" s="114">
        <f>IF(Ruimtestaat[[#This Row],[Frequentie weekend]]&gt;0,VALUE(LEFT(Y174,1))*R174,0)</f>
        <v>0</v>
      </c>
      <c r="AA174" s="110">
        <f>IF($Z174&gt;0,VLOOKUP($J174,Ruimtegroepen[],3,FALSE)*VLOOKUP($L174,Vloersoorten[],3,FALSE)*VLOOKUP($Y174,Frequenties[],3,FALSE)*VLOOKUP(#REF!,Locaties[],3,FALSE),0)</f>
        <v>0</v>
      </c>
      <c r="AB174" s="112">
        <f>Ruimtestaat[[#This Row],[Uitvoeringen weekend]]*Ruimtestaat[[#This Row],[Oppervlak (netto)]]</f>
        <v>0</v>
      </c>
      <c r="AC174" s="115">
        <f>IF(AB174&gt;0,Ruimtestaat[[#This Row],[Prest. (m2 /jaar) weekend]]/Ruimtestaat[[#This Row],[Norm (m2/uur) weekend]],0)</f>
        <v>0</v>
      </c>
      <c r="AD174" s="116">
        <f>Ruimtestaat[[#This Row],[uren / jaar weekend]]*Tariefsopbouw!$D$40</f>
        <v>0</v>
      </c>
      <c r="AE174" s="82">
        <f>Ruimtestaat[[#This Row],[Prest. (m2 /jaar) weekend]]+Ruimtestaat[[#This Row],[Prest. (m2 /jaar) werkdagen]]</f>
        <v>6780</v>
      </c>
      <c r="AF174" s="82">
        <f>Ruimtestaat[[#This Row],[uren / jaar weekend]]+Ruimtestaat[[#This Row],[uren / jaar werkdagen]]</f>
        <v>0</v>
      </c>
      <c r="AG174" s="83">
        <f>Ruimtestaat[[#This Row],[kosten / jaar weekend]]+Ruimtestaat[[#This Row],[kosten / jaar werkdagen]]</f>
        <v>0</v>
      </c>
      <c r="AH174" s="117"/>
      <c r="HL174" s="87"/>
    </row>
    <row r="175" spans="1:220" ht="15" customHeight="1">
      <c r="A175" s="136">
        <v>1</v>
      </c>
      <c r="B175" s="27" t="str">
        <f>VLOOKUP(Ruimtestaat[[#This Row],[Code]],Locaties[#All],2,FALSE)</f>
        <v>Amstelveen College</v>
      </c>
      <c r="C175" s="27" t="str">
        <f>VLOOKUP(Ruimtestaat[[#This Row],[Code]],Locaties[#All],4,FALSE)</f>
        <v>Sportlaan 27</v>
      </c>
      <c r="D175" s="27" t="str">
        <f>VLOOKUP(Ruimtestaat[[#This Row],[Code]],Locaties[#All],5,FALSE)</f>
        <v>1185 TB</v>
      </c>
      <c r="E175" s="27" t="str">
        <f>VLOOKUP(Ruimtestaat[[#This Row],[Code]],Locaties[#All],6,FALSE)</f>
        <v>Amstelveen</v>
      </c>
      <c r="F175" s="74"/>
      <c r="G175" s="27" t="s">
        <v>273</v>
      </c>
      <c r="H175" s="27" t="s">
        <v>278</v>
      </c>
      <c r="I175" s="24" t="s">
        <v>371</v>
      </c>
      <c r="J175" s="27">
        <v>16</v>
      </c>
      <c r="K175" s="74" t="str">
        <f>VLOOKUP(J175,Ruimtegroepen[],2,FALSE)</f>
        <v>Leslokalen theorie</v>
      </c>
      <c r="L175" s="27" t="s">
        <v>114</v>
      </c>
      <c r="M175" s="27" t="s">
        <v>139</v>
      </c>
      <c r="N175" s="107">
        <v>56.5</v>
      </c>
      <c r="O175" s="107"/>
      <c r="P175" s="118" t="str">
        <f>LEFT(VLOOKUP(Ruimtestaat[[#This Row],[Ruimte code]],Ruimtegroepen[#All],4,1),2)</f>
        <v xml:space="preserve">L </v>
      </c>
      <c r="Q175" s="118"/>
      <c r="R175" s="108">
        <v>40</v>
      </c>
      <c r="S175" s="109" t="s">
        <v>18</v>
      </c>
      <c r="T175" s="110">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75" s="110">
        <f>IF(T175&gt;0,VLOOKUP($J175,Ruimtegroepen[],3,FALSE)*VLOOKUP($L175,Vloersoorten[],3,FALSE)*VLOOKUP($S175,Frequenties[],3,FALSE)*VLOOKUP($A175,Locaties[],3,FALSE),0)</f>
        <v>0</v>
      </c>
      <c r="V175" s="111">
        <f>Ruimtestaat[[#This Row],[Uitvoeringen werkdagen]]*Ruimtestaat[[#This Row],[Oppervlak (netto)]]</f>
        <v>6780</v>
      </c>
      <c r="W175" s="112">
        <f>IF(U175&gt;0,Ruimtestaat[[#This Row],[Prest. (m2 /jaar) werkdagen]]/Ruimtestaat[[#This Row],[Norm (m2/uur) werkdagen]],0)</f>
        <v>0</v>
      </c>
      <c r="X175" s="113">
        <f>Ruimtestaat[[#This Row],[uren / jaar werkdagen]]*Tariefsopbouw!$E$35</f>
        <v>0</v>
      </c>
      <c r="Y175" s="110"/>
      <c r="Z175" s="114">
        <f>IF(Ruimtestaat[[#This Row],[Frequentie weekend]]&gt;0,VALUE(LEFT(Y175,1))*R175,0)</f>
        <v>0</v>
      </c>
      <c r="AA175" s="110">
        <f>IF($Z175&gt;0,VLOOKUP($J175,Ruimtegroepen[],3,FALSE)*VLOOKUP($L175,Vloersoorten[],3,FALSE)*VLOOKUP($Y175,Frequenties[],3,FALSE)*VLOOKUP(#REF!,Locaties[],3,FALSE),0)</f>
        <v>0</v>
      </c>
      <c r="AB175" s="112">
        <f>Ruimtestaat[[#This Row],[Uitvoeringen weekend]]*Ruimtestaat[[#This Row],[Oppervlak (netto)]]</f>
        <v>0</v>
      </c>
      <c r="AC175" s="115">
        <f>IF(AB175&gt;0,Ruimtestaat[[#This Row],[Prest. (m2 /jaar) weekend]]/Ruimtestaat[[#This Row],[Norm (m2/uur) weekend]],0)</f>
        <v>0</v>
      </c>
      <c r="AD175" s="116">
        <f>Ruimtestaat[[#This Row],[uren / jaar weekend]]*Tariefsopbouw!$D$40</f>
        <v>0</v>
      </c>
      <c r="AE175" s="82">
        <f>Ruimtestaat[[#This Row],[Prest. (m2 /jaar) weekend]]+Ruimtestaat[[#This Row],[Prest. (m2 /jaar) werkdagen]]</f>
        <v>6780</v>
      </c>
      <c r="AF175" s="82">
        <f>Ruimtestaat[[#This Row],[uren / jaar weekend]]+Ruimtestaat[[#This Row],[uren / jaar werkdagen]]</f>
        <v>0</v>
      </c>
      <c r="AG175" s="83">
        <f>Ruimtestaat[[#This Row],[kosten / jaar weekend]]+Ruimtestaat[[#This Row],[kosten / jaar werkdagen]]</f>
        <v>0</v>
      </c>
      <c r="AH175" s="117"/>
      <c r="HL175" s="87"/>
    </row>
    <row r="176" spans="1:220" ht="15" customHeight="1">
      <c r="A176" s="136">
        <v>1</v>
      </c>
      <c r="B176" s="27" t="str">
        <f>VLOOKUP(Ruimtestaat[[#This Row],[Code]],Locaties[#All],2,FALSE)</f>
        <v>Amstelveen College</v>
      </c>
      <c r="C176" s="27" t="str">
        <f>VLOOKUP(Ruimtestaat[[#This Row],[Code]],Locaties[#All],4,FALSE)</f>
        <v>Sportlaan 27</v>
      </c>
      <c r="D176" s="27" t="str">
        <f>VLOOKUP(Ruimtestaat[[#This Row],[Code]],Locaties[#All],5,FALSE)</f>
        <v>1185 TB</v>
      </c>
      <c r="E176" s="27" t="str">
        <f>VLOOKUP(Ruimtestaat[[#This Row],[Code]],Locaties[#All],6,FALSE)</f>
        <v>Amstelveen</v>
      </c>
      <c r="F176" s="74"/>
      <c r="G176" s="27" t="s">
        <v>273</v>
      </c>
      <c r="H176" s="27" t="s">
        <v>279</v>
      </c>
      <c r="I176" s="24" t="s">
        <v>371</v>
      </c>
      <c r="J176" s="27">
        <v>16</v>
      </c>
      <c r="K176" s="74" t="str">
        <f>VLOOKUP(J176,Ruimtegroepen[],2,FALSE)</f>
        <v>Leslokalen theorie</v>
      </c>
      <c r="L176" s="27" t="s">
        <v>114</v>
      </c>
      <c r="M176" s="27" t="s">
        <v>139</v>
      </c>
      <c r="N176" s="107">
        <v>55.3</v>
      </c>
      <c r="O176" s="107"/>
      <c r="P176" s="118" t="str">
        <f>LEFT(VLOOKUP(Ruimtestaat[[#This Row],[Ruimte code]],Ruimtegroepen[#All],4,1),2)</f>
        <v xml:space="preserve">L </v>
      </c>
      <c r="Q176" s="118"/>
      <c r="R176" s="108">
        <v>40</v>
      </c>
      <c r="S176" s="109" t="s">
        <v>18</v>
      </c>
      <c r="T176" s="110">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76" s="110">
        <f>IF(T176&gt;0,VLOOKUP($J176,Ruimtegroepen[],3,FALSE)*VLOOKUP($L176,Vloersoorten[],3,FALSE)*VLOOKUP($S176,Frequenties[],3,FALSE)*VLOOKUP($A176,Locaties[],3,FALSE),0)</f>
        <v>0</v>
      </c>
      <c r="V176" s="111">
        <f>Ruimtestaat[[#This Row],[Uitvoeringen werkdagen]]*Ruimtestaat[[#This Row],[Oppervlak (netto)]]</f>
        <v>6636</v>
      </c>
      <c r="W176" s="112">
        <f>IF(U176&gt;0,Ruimtestaat[[#This Row],[Prest. (m2 /jaar) werkdagen]]/Ruimtestaat[[#This Row],[Norm (m2/uur) werkdagen]],0)</f>
        <v>0</v>
      </c>
      <c r="X176" s="113">
        <f>Ruimtestaat[[#This Row],[uren / jaar werkdagen]]*Tariefsopbouw!$E$35</f>
        <v>0</v>
      </c>
      <c r="Y176" s="110"/>
      <c r="Z176" s="114">
        <f>IF(Ruimtestaat[[#This Row],[Frequentie weekend]]&gt;0,VALUE(LEFT(Y176,1))*R176,0)</f>
        <v>0</v>
      </c>
      <c r="AA176" s="110">
        <f>IF($Z176&gt;0,VLOOKUP($J176,Ruimtegroepen[],3,FALSE)*VLOOKUP($L176,Vloersoorten[],3,FALSE)*VLOOKUP($Y176,Frequenties[],3,FALSE)*VLOOKUP(#REF!,Locaties[],3,FALSE),0)</f>
        <v>0</v>
      </c>
      <c r="AB176" s="112">
        <f>Ruimtestaat[[#This Row],[Uitvoeringen weekend]]*Ruimtestaat[[#This Row],[Oppervlak (netto)]]</f>
        <v>0</v>
      </c>
      <c r="AC176" s="115">
        <f>IF(AB176&gt;0,Ruimtestaat[[#This Row],[Prest. (m2 /jaar) weekend]]/Ruimtestaat[[#This Row],[Norm (m2/uur) weekend]],0)</f>
        <v>0</v>
      </c>
      <c r="AD176" s="116">
        <f>Ruimtestaat[[#This Row],[uren / jaar weekend]]*Tariefsopbouw!$D$40</f>
        <v>0</v>
      </c>
      <c r="AE176" s="82">
        <f>Ruimtestaat[[#This Row],[Prest. (m2 /jaar) weekend]]+Ruimtestaat[[#This Row],[Prest. (m2 /jaar) werkdagen]]</f>
        <v>6636</v>
      </c>
      <c r="AF176" s="82">
        <f>Ruimtestaat[[#This Row],[uren / jaar weekend]]+Ruimtestaat[[#This Row],[uren / jaar werkdagen]]</f>
        <v>0</v>
      </c>
      <c r="AG176" s="83">
        <f>Ruimtestaat[[#This Row],[kosten / jaar weekend]]+Ruimtestaat[[#This Row],[kosten / jaar werkdagen]]</f>
        <v>0</v>
      </c>
      <c r="AH176" s="117"/>
      <c r="HL176" s="87"/>
    </row>
    <row r="177" spans="1:220" ht="15" customHeight="1">
      <c r="A177" s="136">
        <v>1</v>
      </c>
      <c r="B177" s="27" t="str">
        <f>VLOOKUP(Ruimtestaat[[#This Row],[Code]],Locaties[#All],2,FALSE)</f>
        <v>Amstelveen College</v>
      </c>
      <c r="C177" s="27" t="str">
        <f>VLOOKUP(Ruimtestaat[[#This Row],[Code]],Locaties[#All],4,FALSE)</f>
        <v>Sportlaan 27</v>
      </c>
      <c r="D177" s="27" t="str">
        <f>VLOOKUP(Ruimtestaat[[#This Row],[Code]],Locaties[#All],5,FALSE)</f>
        <v>1185 TB</v>
      </c>
      <c r="E177" s="27" t="str">
        <f>VLOOKUP(Ruimtestaat[[#This Row],[Code]],Locaties[#All],6,FALSE)</f>
        <v>Amstelveen</v>
      </c>
      <c r="F177" s="74"/>
      <c r="G177" s="27" t="s">
        <v>273</v>
      </c>
      <c r="H177" s="27" t="s">
        <v>280</v>
      </c>
      <c r="I177" s="24" t="s">
        <v>369</v>
      </c>
      <c r="J177" s="27">
        <v>6</v>
      </c>
      <c r="K177" s="74" t="str">
        <f>VLOOKUP(J177,Ruimtegroepen[],2,FALSE)</f>
        <v>Gangen/hallen</v>
      </c>
      <c r="L177" s="27" t="s">
        <v>114</v>
      </c>
      <c r="M177" s="27" t="s">
        <v>139</v>
      </c>
      <c r="N177" s="107">
        <v>171.8</v>
      </c>
      <c r="O177" s="107"/>
      <c r="P177" s="118" t="str">
        <f>LEFT(VLOOKUP(Ruimtestaat[[#This Row],[Ruimte code]],Ruimtegroepen[#All],4,1),2)</f>
        <v xml:space="preserve">V </v>
      </c>
      <c r="Q177" s="118"/>
      <c r="R177" s="108">
        <v>42</v>
      </c>
      <c r="S177" s="109" t="s">
        <v>2</v>
      </c>
      <c r="T177" s="110">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77" s="110">
        <f>IF(T177&gt;0,VLOOKUP($J177,Ruimtegroepen[],3,FALSE)*VLOOKUP($L177,Vloersoorten[],3,FALSE)*VLOOKUP($S177,Frequenties[],3,FALSE)*VLOOKUP($A177,Locaties[],3,FALSE),0)</f>
        <v>0</v>
      </c>
      <c r="V177" s="111">
        <f>Ruimtestaat[[#This Row],[Uitvoeringen werkdagen]]*Ruimtestaat[[#This Row],[Oppervlak (netto)]]</f>
        <v>36078</v>
      </c>
      <c r="W177" s="112">
        <f>IF(U177&gt;0,Ruimtestaat[[#This Row],[Prest. (m2 /jaar) werkdagen]]/Ruimtestaat[[#This Row],[Norm (m2/uur) werkdagen]],0)</f>
        <v>0</v>
      </c>
      <c r="X177" s="113">
        <f>Ruimtestaat[[#This Row],[uren / jaar werkdagen]]*Tariefsopbouw!$E$35</f>
        <v>0</v>
      </c>
      <c r="Y177" s="110"/>
      <c r="Z177" s="114">
        <f>IF(Ruimtestaat[[#This Row],[Frequentie weekend]]&gt;0,VALUE(LEFT(Y177,1))*R177,0)</f>
        <v>0</v>
      </c>
      <c r="AA177" s="110">
        <f>IF($Z177&gt;0,VLOOKUP($J177,Ruimtegroepen[],3,FALSE)*VLOOKUP($L177,Vloersoorten[],3,FALSE)*VLOOKUP($Y177,Frequenties[],3,FALSE)*VLOOKUP($A173,Locaties[],3,FALSE),0)</f>
        <v>0</v>
      </c>
      <c r="AB177" s="112">
        <f>Ruimtestaat[[#This Row],[Uitvoeringen weekend]]*Ruimtestaat[[#This Row],[Oppervlak (netto)]]</f>
        <v>0</v>
      </c>
      <c r="AC177" s="115">
        <f>IF(AB177&gt;0,Ruimtestaat[[#This Row],[Prest. (m2 /jaar) weekend]]/Ruimtestaat[[#This Row],[Norm (m2/uur) weekend]],0)</f>
        <v>0</v>
      </c>
      <c r="AD177" s="116">
        <f>Ruimtestaat[[#This Row],[uren / jaar weekend]]*Tariefsopbouw!$D$40</f>
        <v>0</v>
      </c>
      <c r="AE177" s="82">
        <f>Ruimtestaat[[#This Row],[Prest. (m2 /jaar) weekend]]+Ruimtestaat[[#This Row],[Prest. (m2 /jaar) werkdagen]]</f>
        <v>36078</v>
      </c>
      <c r="AF177" s="82">
        <f>Ruimtestaat[[#This Row],[uren / jaar weekend]]+Ruimtestaat[[#This Row],[uren / jaar werkdagen]]</f>
        <v>0</v>
      </c>
      <c r="AG177" s="83">
        <f>Ruimtestaat[[#This Row],[kosten / jaar weekend]]+Ruimtestaat[[#This Row],[kosten / jaar werkdagen]]</f>
        <v>0</v>
      </c>
      <c r="AH177" s="117"/>
      <c r="HL177" s="87"/>
    </row>
    <row r="178" spans="1:220" ht="15" customHeight="1">
      <c r="A178" s="136">
        <v>1</v>
      </c>
      <c r="B178" s="27" t="str">
        <f>VLOOKUP(Ruimtestaat[[#This Row],[Code]],Locaties[#All],2,FALSE)</f>
        <v>Amstelveen College</v>
      </c>
      <c r="C178" s="27" t="str">
        <f>VLOOKUP(Ruimtestaat[[#This Row],[Code]],Locaties[#All],4,FALSE)</f>
        <v>Sportlaan 27</v>
      </c>
      <c r="D178" s="27" t="str">
        <f>VLOOKUP(Ruimtestaat[[#This Row],[Code]],Locaties[#All],5,FALSE)</f>
        <v>1185 TB</v>
      </c>
      <c r="E178" s="27" t="str">
        <f>VLOOKUP(Ruimtestaat[[#This Row],[Code]],Locaties[#All],6,FALSE)</f>
        <v>Amstelveen</v>
      </c>
      <c r="F178" s="74"/>
      <c r="G178" s="27" t="s">
        <v>273</v>
      </c>
      <c r="H178" s="27" t="s">
        <v>281</v>
      </c>
      <c r="I178" s="24" t="s">
        <v>376</v>
      </c>
      <c r="J178" s="27">
        <v>2</v>
      </c>
      <c r="K178" s="74" t="str">
        <f>VLOOKUP(J178,Ruimtegroepen[],2,FALSE)</f>
        <v>Kantoren</v>
      </c>
      <c r="L178" s="27" t="s">
        <v>113</v>
      </c>
      <c r="M178" s="27" t="s">
        <v>39</v>
      </c>
      <c r="N178" s="107">
        <v>37.700000000000003</v>
      </c>
      <c r="O178" s="107"/>
      <c r="P178" s="118" t="str">
        <f>LEFT(VLOOKUP(Ruimtestaat[[#This Row],[Ruimte code]],Ruimtegroepen[#All],4,1),2)</f>
        <v xml:space="preserve">B </v>
      </c>
      <c r="Q178" s="118"/>
      <c r="R178" s="108">
        <v>42</v>
      </c>
      <c r="S178" s="109" t="s">
        <v>15</v>
      </c>
      <c r="T178" s="110">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78" s="110">
        <f>IF(T178&gt;0,VLOOKUP($J178,Ruimtegroepen[],3,FALSE)*VLOOKUP($L178,Vloersoorten[],3,FALSE)*VLOOKUP($S178,Frequenties[],3,FALSE)*VLOOKUP($A178,Locaties[],3,FALSE),0)</f>
        <v>0</v>
      </c>
      <c r="V178" s="111">
        <f>Ruimtestaat[[#This Row],[Uitvoeringen werkdagen]]*Ruimtestaat[[#This Row],[Oppervlak (netto)]]</f>
        <v>1583.4</v>
      </c>
      <c r="W178" s="112">
        <f>IF(U178&gt;0,Ruimtestaat[[#This Row],[Prest. (m2 /jaar) werkdagen]]/Ruimtestaat[[#This Row],[Norm (m2/uur) werkdagen]],0)</f>
        <v>0</v>
      </c>
      <c r="X178" s="113">
        <f>Ruimtestaat[[#This Row],[uren / jaar werkdagen]]*Tariefsopbouw!$E$35</f>
        <v>0</v>
      </c>
      <c r="Y178" s="110"/>
      <c r="Z178" s="114">
        <f>IF(Ruimtestaat[[#This Row],[Frequentie weekend]]&gt;0,VALUE(LEFT(Y178,1))*R178,0)</f>
        <v>0</v>
      </c>
      <c r="AA178" s="110">
        <f>IF($Z178&gt;0,VLOOKUP($J178,Ruimtegroepen[],3,FALSE)*VLOOKUP($L178,Vloersoorten[],3,FALSE)*VLOOKUP($Y178,Frequenties[],3,FALSE)*VLOOKUP($A174,Locaties[],3,FALSE),0)</f>
        <v>0</v>
      </c>
      <c r="AB178" s="112">
        <f>Ruimtestaat[[#This Row],[Uitvoeringen weekend]]*Ruimtestaat[[#This Row],[Oppervlak (netto)]]</f>
        <v>0</v>
      </c>
      <c r="AC178" s="115">
        <f>IF(AB178&gt;0,Ruimtestaat[[#This Row],[Prest. (m2 /jaar) weekend]]/Ruimtestaat[[#This Row],[Norm (m2/uur) weekend]],0)</f>
        <v>0</v>
      </c>
      <c r="AD178" s="116">
        <f>Ruimtestaat[[#This Row],[uren / jaar weekend]]*Tariefsopbouw!$D$40</f>
        <v>0</v>
      </c>
      <c r="AE178" s="82">
        <f>Ruimtestaat[[#This Row],[Prest. (m2 /jaar) weekend]]+Ruimtestaat[[#This Row],[Prest. (m2 /jaar) werkdagen]]</f>
        <v>1583.4</v>
      </c>
      <c r="AF178" s="82">
        <f>Ruimtestaat[[#This Row],[uren / jaar weekend]]+Ruimtestaat[[#This Row],[uren / jaar werkdagen]]</f>
        <v>0</v>
      </c>
      <c r="AG178" s="83">
        <f>Ruimtestaat[[#This Row],[kosten / jaar weekend]]+Ruimtestaat[[#This Row],[kosten / jaar werkdagen]]</f>
        <v>0</v>
      </c>
      <c r="AH178" s="117"/>
      <c r="HL178" s="87"/>
    </row>
    <row r="179" spans="1:220" ht="15" customHeight="1">
      <c r="A179" s="136">
        <v>1</v>
      </c>
      <c r="B179" s="27" t="str">
        <f>VLOOKUP(Ruimtestaat[[#This Row],[Code]],Locaties[#All],2,FALSE)</f>
        <v>Amstelveen College</v>
      </c>
      <c r="C179" s="27" t="str">
        <f>VLOOKUP(Ruimtestaat[[#This Row],[Code]],Locaties[#All],4,FALSE)</f>
        <v>Sportlaan 27</v>
      </c>
      <c r="D179" s="27" t="str">
        <f>VLOOKUP(Ruimtestaat[[#This Row],[Code]],Locaties[#All],5,FALSE)</f>
        <v>1185 TB</v>
      </c>
      <c r="E179" s="27" t="str">
        <f>VLOOKUP(Ruimtestaat[[#This Row],[Code]],Locaties[#All],6,FALSE)</f>
        <v>Amstelveen</v>
      </c>
      <c r="F179" s="74"/>
      <c r="G179" s="27" t="s">
        <v>273</v>
      </c>
      <c r="H179" s="27" t="s">
        <v>282</v>
      </c>
      <c r="I179" s="24" t="s">
        <v>371</v>
      </c>
      <c r="J179" s="27">
        <v>16</v>
      </c>
      <c r="K179" s="74" t="str">
        <f>VLOOKUP(J179,Ruimtegroepen[],2,FALSE)</f>
        <v>Leslokalen theorie</v>
      </c>
      <c r="L179" s="27" t="s">
        <v>114</v>
      </c>
      <c r="M179" s="27" t="s">
        <v>139</v>
      </c>
      <c r="N179" s="107">
        <v>56.1</v>
      </c>
      <c r="O179" s="107"/>
      <c r="P179" s="118" t="str">
        <f>LEFT(VLOOKUP(Ruimtestaat[[#This Row],[Ruimte code]],Ruimtegroepen[#All],4,1),2)</f>
        <v xml:space="preserve">L </v>
      </c>
      <c r="Q179" s="118"/>
      <c r="R179" s="108">
        <v>40</v>
      </c>
      <c r="S179" s="109" t="s">
        <v>18</v>
      </c>
      <c r="T179" s="110">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79" s="110">
        <f>IF(T179&gt;0,VLOOKUP($J179,Ruimtegroepen[],3,FALSE)*VLOOKUP($L179,Vloersoorten[],3,FALSE)*VLOOKUP($S179,Frequenties[],3,FALSE)*VLOOKUP($A179,Locaties[],3,FALSE),0)</f>
        <v>0</v>
      </c>
      <c r="V179" s="111">
        <f>Ruimtestaat[[#This Row],[Uitvoeringen werkdagen]]*Ruimtestaat[[#This Row],[Oppervlak (netto)]]</f>
        <v>6732</v>
      </c>
      <c r="W179" s="112">
        <f>IF(U179&gt;0,Ruimtestaat[[#This Row],[Prest. (m2 /jaar) werkdagen]]/Ruimtestaat[[#This Row],[Norm (m2/uur) werkdagen]],0)</f>
        <v>0</v>
      </c>
      <c r="X179" s="113">
        <f>Ruimtestaat[[#This Row],[uren / jaar werkdagen]]*Tariefsopbouw!$E$35</f>
        <v>0</v>
      </c>
      <c r="Y179" s="110"/>
      <c r="Z179" s="114">
        <f>IF(Ruimtestaat[[#This Row],[Frequentie weekend]]&gt;0,VALUE(LEFT(Y179,1))*R179,0)</f>
        <v>0</v>
      </c>
      <c r="AA179" s="110">
        <f>IF($Z179&gt;0,VLOOKUP($J179,Ruimtegroepen[],3,FALSE)*VLOOKUP($L179,Vloersoorten[],3,FALSE)*VLOOKUP($Y179,Frequenties[],3,FALSE)*VLOOKUP($A175,Locaties[],3,FALSE),0)</f>
        <v>0</v>
      </c>
      <c r="AB179" s="112">
        <f>Ruimtestaat[[#This Row],[Uitvoeringen weekend]]*Ruimtestaat[[#This Row],[Oppervlak (netto)]]</f>
        <v>0</v>
      </c>
      <c r="AC179" s="115">
        <f>IF(AB179&gt;0,Ruimtestaat[[#This Row],[Prest. (m2 /jaar) weekend]]/Ruimtestaat[[#This Row],[Norm (m2/uur) weekend]],0)</f>
        <v>0</v>
      </c>
      <c r="AD179" s="116">
        <f>Ruimtestaat[[#This Row],[uren / jaar weekend]]*Tariefsopbouw!$D$40</f>
        <v>0</v>
      </c>
      <c r="AE179" s="82">
        <f>Ruimtestaat[[#This Row],[Prest. (m2 /jaar) weekend]]+Ruimtestaat[[#This Row],[Prest. (m2 /jaar) werkdagen]]</f>
        <v>6732</v>
      </c>
      <c r="AF179" s="82">
        <f>Ruimtestaat[[#This Row],[uren / jaar weekend]]+Ruimtestaat[[#This Row],[uren / jaar werkdagen]]</f>
        <v>0</v>
      </c>
      <c r="AG179" s="83">
        <f>Ruimtestaat[[#This Row],[kosten / jaar weekend]]+Ruimtestaat[[#This Row],[kosten / jaar werkdagen]]</f>
        <v>0</v>
      </c>
      <c r="AH179" s="117"/>
      <c r="HL179" s="87"/>
    </row>
    <row r="180" spans="1:220" ht="15" customHeight="1">
      <c r="A180" s="136">
        <v>1</v>
      </c>
      <c r="B180" s="27" t="str">
        <f>VLOOKUP(Ruimtestaat[[#This Row],[Code]],Locaties[#All],2,FALSE)</f>
        <v>Amstelveen College</v>
      </c>
      <c r="C180" s="27" t="str">
        <f>VLOOKUP(Ruimtestaat[[#This Row],[Code]],Locaties[#All],4,FALSE)</f>
        <v>Sportlaan 27</v>
      </c>
      <c r="D180" s="27" t="str">
        <f>VLOOKUP(Ruimtestaat[[#This Row],[Code]],Locaties[#All],5,FALSE)</f>
        <v>1185 TB</v>
      </c>
      <c r="E180" s="27" t="str">
        <f>VLOOKUP(Ruimtestaat[[#This Row],[Code]],Locaties[#All],6,FALSE)</f>
        <v>Amstelveen</v>
      </c>
      <c r="F180" s="74"/>
      <c r="G180" s="27" t="s">
        <v>273</v>
      </c>
      <c r="H180" s="27" t="s">
        <v>283</v>
      </c>
      <c r="I180" s="24" t="s">
        <v>372</v>
      </c>
      <c r="J180" s="27">
        <v>20</v>
      </c>
      <c r="K180" s="74" t="str">
        <f>VLOOKUP(J180,Ruimtegroepen[],2,FALSE)</f>
        <v>Niet in onderhoud</v>
      </c>
      <c r="L180" s="27" t="s">
        <v>114</v>
      </c>
      <c r="M180" s="27" t="s">
        <v>139</v>
      </c>
      <c r="O180" s="107">
        <v>22.5</v>
      </c>
      <c r="P180" s="118" t="str">
        <f>LEFT(VLOOKUP(Ruimtestaat[[#This Row],[Ruimte code]],Ruimtegroepen[#All],4,1),2)</f>
        <v/>
      </c>
      <c r="Q180" s="118"/>
      <c r="R180" s="108">
        <v>0</v>
      </c>
      <c r="S180" s="109"/>
      <c r="T180" s="110">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0" s="110">
        <f>IF(T180&gt;0,VLOOKUP($J180,Ruimtegroepen[],3,FALSE)*VLOOKUP($L180,Vloersoorten[],3,FALSE)*VLOOKUP($S180,Frequenties[],3,FALSE)*VLOOKUP($A180,Locaties[],3,FALSE),0)</f>
        <v>0</v>
      </c>
      <c r="V180" s="111">
        <f>Ruimtestaat[[#This Row],[Uitvoeringen werkdagen]]*Ruimtestaat[[#This Row],[Oppervlak (netto)]]</f>
        <v>0</v>
      </c>
      <c r="W180" s="112">
        <f>IF(U180&gt;0,Ruimtestaat[[#This Row],[Prest. (m2 /jaar) werkdagen]]/Ruimtestaat[[#This Row],[Norm (m2/uur) werkdagen]],0)</f>
        <v>0</v>
      </c>
      <c r="X180" s="113">
        <f>Ruimtestaat[[#This Row],[uren / jaar werkdagen]]*Tariefsopbouw!$E$35</f>
        <v>0</v>
      </c>
      <c r="Y180" s="110"/>
      <c r="Z180" s="114">
        <f>IF(Ruimtestaat[[#This Row],[Frequentie weekend]]&gt;0,VALUE(LEFT(Y180,1))*R180,0)</f>
        <v>0</v>
      </c>
      <c r="AA180" s="110">
        <f>IF($Z180&gt;0,VLOOKUP($J180,Ruimtegroepen[],3,FALSE)*VLOOKUP($L180,Vloersoorten[],3,FALSE)*VLOOKUP($Y180,Frequenties[],3,FALSE)*VLOOKUP($A176,Locaties[],3,FALSE),0)</f>
        <v>0</v>
      </c>
      <c r="AB180" s="112">
        <f>Ruimtestaat[[#This Row],[Uitvoeringen weekend]]*Ruimtestaat[[#This Row],[Oppervlak (netto)]]</f>
        <v>0</v>
      </c>
      <c r="AC180" s="115">
        <f>IF(AB180&gt;0,Ruimtestaat[[#This Row],[Prest. (m2 /jaar) weekend]]/Ruimtestaat[[#This Row],[Norm (m2/uur) weekend]],0)</f>
        <v>0</v>
      </c>
      <c r="AD180" s="116">
        <f>Ruimtestaat[[#This Row],[uren / jaar weekend]]*Tariefsopbouw!$D$40</f>
        <v>0</v>
      </c>
      <c r="AE180" s="82">
        <f>Ruimtestaat[[#This Row],[Prest. (m2 /jaar) weekend]]+Ruimtestaat[[#This Row],[Prest. (m2 /jaar) werkdagen]]</f>
        <v>0</v>
      </c>
      <c r="AF180" s="82">
        <f>Ruimtestaat[[#This Row],[uren / jaar weekend]]+Ruimtestaat[[#This Row],[uren / jaar werkdagen]]</f>
        <v>0</v>
      </c>
      <c r="AG180" s="83">
        <f>Ruimtestaat[[#This Row],[kosten / jaar weekend]]+Ruimtestaat[[#This Row],[kosten / jaar werkdagen]]</f>
        <v>0</v>
      </c>
      <c r="AH180" s="117"/>
      <c r="HL180" s="87"/>
    </row>
    <row r="181" spans="1:220" ht="15" customHeight="1">
      <c r="A181" s="136">
        <v>1</v>
      </c>
      <c r="B181" s="27" t="str">
        <f>VLOOKUP(Ruimtestaat[[#This Row],[Code]],Locaties[#All],2,FALSE)</f>
        <v>Amstelveen College</v>
      </c>
      <c r="C181" s="27" t="str">
        <f>VLOOKUP(Ruimtestaat[[#This Row],[Code]],Locaties[#All],4,FALSE)</f>
        <v>Sportlaan 27</v>
      </c>
      <c r="D181" s="27" t="str">
        <f>VLOOKUP(Ruimtestaat[[#This Row],[Code]],Locaties[#All],5,FALSE)</f>
        <v>1185 TB</v>
      </c>
      <c r="E181" s="27" t="str">
        <f>VLOOKUP(Ruimtestaat[[#This Row],[Code]],Locaties[#All],6,FALSE)</f>
        <v>Amstelveen</v>
      </c>
      <c r="F181" s="74"/>
      <c r="G181" s="27" t="s">
        <v>273</v>
      </c>
      <c r="H181" s="27" t="s">
        <v>284</v>
      </c>
      <c r="I181" s="24" t="s">
        <v>375</v>
      </c>
      <c r="J181" s="27">
        <v>2</v>
      </c>
      <c r="K181" s="74" t="str">
        <f>VLOOKUP(J181,Ruimtegroepen[],2,FALSE)</f>
        <v>Kantoren</v>
      </c>
      <c r="L181" s="27" t="s">
        <v>113</v>
      </c>
      <c r="M181" s="27" t="s">
        <v>39</v>
      </c>
      <c r="N181" s="107">
        <v>16.600000000000001</v>
      </c>
      <c r="O181" s="107"/>
      <c r="P181" s="118" t="str">
        <f>LEFT(VLOOKUP(Ruimtestaat[[#This Row],[Ruimte code]],Ruimtegroepen[#All],4,1),2)</f>
        <v xml:space="preserve">B </v>
      </c>
      <c r="Q181" s="118"/>
      <c r="R181" s="108">
        <v>42</v>
      </c>
      <c r="S181" s="109" t="s">
        <v>15</v>
      </c>
      <c r="T181" s="110">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181" s="110">
        <f>IF(T181&gt;0,VLOOKUP($J181,Ruimtegroepen[],3,FALSE)*VLOOKUP($L181,Vloersoorten[],3,FALSE)*VLOOKUP($S181,Frequenties[],3,FALSE)*VLOOKUP($A181,Locaties[],3,FALSE),0)</f>
        <v>0</v>
      </c>
      <c r="V181" s="111">
        <f>Ruimtestaat[[#This Row],[Uitvoeringen werkdagen]]*Ruimtestaat[[#This Row],[Oppervlak (netto)]]</f>
        <v>697.2</v>
      </c>
      <c r="W181" s="112">
        <f>IF(U181&gt;0,Ruimtestaat[[#This Row],[Prest. (m2 /jaar) werkdagen]]/Ruimtestaat[[#This Row],[Norm (m2/uur) werkdagen]],0)</f>
        <v>0</v>
      </c>
      <c r="X181" s="113">
        <f>Ruimtestaat[[#This Row],[uren / jaar werkdagen]]*Tariefsopbouw!$E$35</f>
        <v>0</v>
      </c>
      <c r="Y181" s="110"/>
      <c r="Z181" s="114">
        <f>IF(Ruimtestaat[[#This Row],[Frequentie weekend]]&gt;0,VALUE(LEFT(Y181,1))*R181,0)</f>
        <v>0</v>
      </c>
      <c r="AA181" s="110">
        <f>IF($Z181&gt;0,VLOOKUP($J181,Ruimtegroepen[],3,FALSE)*VLOOKUP($L181,Vloersoorten[],3,FALSE)*VLOOKUP($Y181,Frequenties[],3,FALSE)*VLOOKUP($A177,Locaties[],3,FALSE),0)</f>
        <v>0</v>
      </c>
      <c r="AB181" s="112">
        <f>Ruimtestaat[[#This Row],[Uitvoeringen weekend]]*Ruimtestaat[[#This Row],[Oppervlak (netto)]]</f>
        <v>0</v>
      </c>
      <c r="AC181" s="115">
        <f>IF(AB181&gt;0,Ruimtestaat[[#This Row],[Prest. (m2 /jaar) weekend]]/Ruimtestaat[[#This Row],[Norm (m2/uur) weekend]],0)</f>
        <v>0</v>
      </c>
      <c r="AD181" s="116">
        <f>Ruimtestaat[[#This Row],[uren / jaar weekend]]*Tariefsopbouw!$D$40</f>
        <v>0</v>
      </c>
      <c r="AE181" s="82">
        <f>Ruimtestaat[[#This Row],[Prest. (m2 /jaar) weekend]]+Ruimtestaat[[#This Row],[Prest. (m2 /jaar) werkdagen]]</f>
        <v>697.2</v>
      </c>
      <c r="AF181" s="82">
        <f>Ruimtestaat[[#This Row],[uren / jaar weekend]]+Ruimtestaat[[#This Row],[uren / jaar werkdagen]]</f>
        <v>0</v>
      </c>
      <c r="AG181" s="83">
        <f>Ruimtestaat[[#This Row],[kosten / jaar weekend]]+Ruimtestaat[[#This Row],[kosten / jaar werkdagen]]</f>
        <v>0</v>
      </c>
      <c r="AH181" s="117"/>
      <c r="HL181" s="87"/>
    </row>
    <row r="182" spans="1:220" ht="15" customHeight="1">
      <c r="A182" s="136">
        <v>1</v>
      </c>
      <c r="B182" s="27" t="str">
        <f>VLOOKUP(Ruimtestaat[[#This Row],[Code]],Locaties[#All],2,FALSE)</f>
        <v>Amstelveen College</v>
      </c>
      <c r="C182" s="27" t="str">
        <f>VLOOKUP(Ruimtestaat[[#This Row],[Code]],Locaties[#All],4,FALSE)</f>
        <v>Sportlaan 27</v>
      </c>
      <c r="D182" s="27" t="str">
        <f>VLOOKUP(Ruimtestaat[[#This Row],[Code]],Locaties[#All],5,FALSE)</f>
        <v>1185 TB</v>
      </c>
      <c r="E182" s="27" t="str">
        <f>VLOOKUP(Ruimtestaat[[#This Row],[Code]],Locaties[#All],6,FALSE)</f>
        <v>Amstelveen</v>
      </c>
      <c r="F182" s="74"/>
      <c r="G182" s="27" t="s">
        <v>273</v>
      </c>
      <c r="H182" s="27" t="s">
        <v>285</v>
      </c>
      <c r="I182" s="24" t="s">
        <v>373</v>
      </c>
      <c r="J182" s="27">
        <v>6</v>
      </c>
      <c r="K182" s="74" t="str">
        <f>VLOOKUP(J182,Ruimtegroepen[],2,FALSE)</f>
        <v>Gangen/hallen</v>
      </c>
      <c r="L182" s="27" t="s">
        <v>113</v>
      </c>
      <c r="M182" s="27" t="s">
        <v>39</v>
      </c>
      <c r="N182" s="107">
        <v>8.1</v>
      </c>
      <c r="O182" s="107"/>
      <c r="P182" s="118" t="str">
        <f>LEFT(VLOOKUP(Ruimtestaat[[#This Row],[Ruimte code]],Ruimtegroepen[#All],4,1),2)</f>
        <v xml:space="preserve">V </v>
      </c>
      <c r="Q182" s="118"/>
      <c r="R182" s="108">
        <v>42</v>
      </c>
      <c r="S182" s="109" t="s">
        <v>2</v>
      </c>
      <c r="T182" s="110">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82" s="110">
        <f>IF(T182&gt;0,VLOOKUP($J182,Ruimtegroepen[],3,FALSE)*VLOOKUP($L182,Vloersoorten[],3,FALSE)*VLOOKUP($S182,Frequenties[],3,FALSE)*VLOOKUP($A182,Locaties[],3,FALSE),0)</f>
        <v>0</v>
      </c>
      <c r="V182" s="111">
        <f>Ruimtestaat[[#This Row],[Uitvoeringen werkdagen]]*Ruimtestaat[[#This Row],[Oppervlak (netto)]]</f>
        <v>1701</v>
      </c>
      <c r="W182" s="112">
        <f>IF(U182&gt;0,Ruimtestaat[[#This Row],[Prest. (m2 /jaar) werkdagen]]/Ruimtestaat[[#This Row],[Norm (m2/uur) werkdagen]],0)</f>
        <v>0</v>
      </c>
      <c r="X182" s="113">
        <f>Ruimtestaat[[#This Row],[uren / jaar werkdagen]]*Tariefsopbouw!$E$35</f>
        <v>0</v>
      </c>
      <c r="Y182" s="110"/>
      <c r="Z182" s="114">
        <f>IF(Ruimtestaat[[#This Row],[Frequentie weekend]]&gt;0,VALUE(LEFT(Y182,1))*R182,0)</f>
        <v>0</v>
      </c>
      <c r="AA182" s="110">
        <f>IF($Z182&gt;0,VLOOKUP($J182,Ruimtegroepen[],3,FALSE)*VLOOKUP($L182,Vloersoorten[],3,FALSE)*VLOOKUP($Y182,Frequenties[],3,FALSE)*VLOOKUP($A178,Locaties[],3,FALSE),0)</f>
        <v>0</v>
      </c>
      <c r="AB182" s="112">
        <f>Ruimtestaat[[#This Row],[Uitvoeringen weekend]]*Ruimtestaat[[#This Row],[Oppervlak (netto)]]</f>
        <v>0</v>
      </c>
      <c r="AC182" s="115">
        <f>IF(AB182&gt;0,Ruimtestaat[[#This Row],[Prest. (m2 /jaar) weekend]]/Ruimtestaat[[#This Row],[Norm (m2/uur) weekend]],0)</f>
        <v>0</v>
      </c>
      <c r="AD182" s="116">
        <f>Ruimtestaat[[#This Row],[uren / jaar weekend]]*Tariefsopbouw!$D$40</f>
        <v>0</v>
      </c>
      <c r="AE182" s="82">
        <f>Ruimtestaat[[#This Row],[Prest. (m2 /jaar) weekend]]+Ruimtestaat[[#This Row],[Prest. (m2 /jaar) werkdagen]]</f>
        <v>1701</v>
      </c>
      <c r="AF182" s="82">
        <f>Ruimtestaat[[#This Row],[uren / jaar weekend]]+Ruimtestaat[[#This Row],[uren / jaar werkdagen]]</f>
        <v>0</v>
      </c>
      <c r="AG182" s="83">
        <f>Ruimtestaat[[#This Row],[kosten / jaar weekend]]+Ruimtestaat[[#This Row],[kosten / jaar werkdagen]]</f>
        <v>0</v>
      </c>
      <c r="AH182" s="117"/>
      <c r="HL182" s="87"/>
    </row>
    <row r="183" spans="1:220" ht="15" customHeight="1">
      <c r="A183" s="136">
        <v>1</v>
      </c>
      <c r="B183" s="27" t="str">
        <f>VLOOKUP(Ruimtestaat[[#This Row],[Code]],Locaties[#All],2,FALSE)</f>
        <v>Amstelveen College</v>
      </c>
      <c r="C183" s="27" t="str">
        <f>VLOOKUP(Ruimtestaat[[#This Row],[Code]],Locaties[#All],4,FALSE)</f>
        <v>Sportlaan 27</v>
      </c>
      <c r="D183" s="27" t="str">
        <f>VLOOKUP(Ruimtestaat[[#This Row],[Code]],Locaties[#All],5,FALSE)</f>
        <v>1185 TB</v>
      </c>
      <c r="E183" s="27" t="str">
        <f>VLOOKUP(Ruimtestaat[[#This Row],[Code]],Locaties[#All],6,FALSE)</f>
        <v>Amstelveen</v>
      </c>
      <c r="F183" s="74"/>
      <c r="G183" s="27" t="s">
        <v>273</v>
      </c>
      <c r="H183" s="27" t="s">
        <v>286</v>
      </c>
      <c r="I183" s="24" t="s">
        <v>371</v>
      </c>
      <c r="J183" s="27">
        <v>16</v>
      </c>
      <c r="K183" s="74" t="str">
        <f>VLOOKUP(J183,Ruimtegroepen[],2,FALSE)</f>
        <v>Leslokalen theorie</v>
      </c>
      <c r="L183" s="27" t="s">
        <v>114</v>
      </c>
      <c r="M183" s="27" t="s">
        <v>139</v>
      </c>
      <c r="N183" s="107">
        <v>58.6</v>
      </c>
      <c r="O183" s="107"/>
      <c r="P183" s="118" t="str">
        <f>LEFT(VLOOKUP(Ruimtestaat[[#This Row],[Ruimte code]],Ruimtegroepen[#All],4,1),2)</f>
        <v xml:space="preserve">L </v>
      </c>
      <c r="Q183" s="118"/>
      <c r="R183" s="108">
        <v>40</v>
      </c>
      <c r="S183" s="109" t="s">
        <v>18</v>
      </c>
      <c r="T183" s="110">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83" s="110">
        <f>IF(T183&gt;0,VLOOKUP($J183,Ruimtegroepen[],3,FALSE)*VLOOKUP($L183,Vloersoorten[],3,FALSE)*VLOOKUP($S183,Frequenties[],3,FALSE)*VLOOKUP($A183,Locaties[],3,FALSE),0)</f>
        <v>0</v>
      </c>
      <c r="V183" s="111">
        <f>Ruimtestaat[[#This Row],[Uitvoeringen werkdagen]]*Ruimtestaat[[#This Row],[Oppervlak (netto)]]</f>
        <v>7032</v>
      </c>
      <c r="W183" s="112">
        <f>IF(U183&gt;0,Ruimtestaat[[#This Row],[Prest. (m2 /jaar) werkdagen]]/Ruimtestaat[[#This Row],[Norm (m2/uur) werkdagen]],0)</f>
        <v>0</v>
      </c>
      <c r="X183" s="113">
        <f>Ruimtestaat[[#This Row],[uren / jaar werkdagen]]*Tariefsopbouw!$E$35</f>
        <v>0</v>
      </c>
      <c r="Y183" s="110"/>
      <c r="Z183" s="114">
        <f>IF(Ruimtestaat[[#This Row],[Frequentie weekend]]&gt;0,VALUE(LEFT(Y183,1))*R183,0)</f>
        <v>0</v>
      </c>
      <c r="AA183" s="110">
        <f>IF($Z183&gt;0,VLOOKUP($J183,Ruimtegroepen[],3,FALSE)*VLOOKUP($L183,Vloersoorten[],3,FALSE)*VLOOKUP($Y183,Frequenties[],3,FALSE)*VLOOKUP($A179,Locaties[],3,FALSE),0)</f>
        <v>0</v>
      </c>
      <c r="AB183" s="112">
        <f>Ruimtestaat[[#This Row],[Uitvoeringen weekend]]*Ruimtestaat[[#This Row],[Oppervlak (netto)]]</f>
        <v>0</v>
      </c>
      <c r="AC183" s="115">
        <f>IF(AB183&gt;0,Ruimtestaat[[#This Row],[Prest. (m2 /jaar) weekend]]/Ruimtestaat[[#This Row],[Norm (m2/uur) weekend]],0)</f>
        <v>0</v>
      </c>
      <c r="AD183" s="116">
        <f>Ruimtestaat[[#This Row],[uren / jaar weekend]]*Tariefsopbouw!$D$40</f>
        <v>0</v>
      </c>
      <c r="AE183" s="82">
        <f>Ruimtestaat[[#This Row],[Prest. (m2 /jaar) weekend]]+Ruimtestaat[[#This Row],[Prest. (m2 /jaar) werkdagen]]</f>
        <v>7032</v>
      </c>
      <c r="AF183" s="82">
        <f>Ruimtestaat[[#This Row],[uren / jaar weekend]]+Ruimtestaat[[#This Row],[uren / jaar werkdagen]]</f>
        <v>0</v>
      </c>
      <c r="AG183" s="83">
        <f>Ruimtestaat[[#This Row],[kosten / jaar weekend]]+Ruimtestaat[[#This Row],[kosten / jaar werkdagen]]</f>
        <v>0</v>
      </c>
      <c r="AH183" s="117"/>
      <c r="HL183" s="87"/>
    </row>
    <row r="184" spans="1:220" ht="15" customHeight="1">
      <c r="A184" s="136">
        <v>1</v>
      </c>
      <c r="B184" s="27" t="str">
        <f>VLOOKUP(Ruimtestaat[[#This Row],[Code]],Locaties[#All],2,FALSE)</f>
        <v>Amstelveen College</v>
      </c>
      <c r="C184" s="27" t="str">
        <f>VLOOKUP(Ruimtestaat[[#This Row],[Code]],Locaties[#All],4,FALSE)</f>
        <v>Sportlaan 27</v>
      </c>
      <c r="D184" s="27" t="str">
        <f>VLOOKUP(Ruimtestaat[[#This Row],[Code]],Locaties[#All],5,FALSE)</f>
        <v>1185 TB</v>
      </c>
      <c r="E184" s="27" t="str">
        <f>VLOOKUP(Ruimtestaat[[#This Row],[Code]],Locaties[#All],6,FALSE)</f>
        <v>Amstelveen</v>
      </c>
      <c r="F184" s="74"/>
      <c r="G184" s="27" t="s">
        <v>273</v>
      </c>
      <c r="H184" s="27" t="s">
        <v>287</v>
      </c>
      <c r="I184" s="24" t="s">
        <v>268</v>
      </c>
      <c r="J184" s="27">
        <v>5</v>
      </c>
      <c r="K184" s="74" t="str">
        <f>VLOOKUP(J184,Ruimtegroepen[],2,FALSE)</f>
        <v>Sanitair</v>
      </c>
      <c r="L184" s="27" t="s">
        <v>115</v>
      </c>
      <c r="M184" s="27" t="s">
        <v>271</v>
      </c>
      <c r="N184" s="107">
        <v>9.9</v>
      </c>
      <c r="O184" s="107"/>
      <c r="P184" s="118" t="str">
        <f>LEFT(VLOOKUP(Ruimtestaat[[#This Row],[Ruimte code]],Ruimtegroepen[#All],4,1),2)</f>
        <v xml:space="preserve">S </v>
      </c>
      <c r="Q184" s="118"/>
      <c r="R184" s="108">
        <v>42</v>
      </c>
      <c r="S184" s="109" t="s">
        <v>19</v>
      </c>
      <c r="T184" s="110">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84" s="110">
        <f>IF(T184&gt;0,VLOOKUP($J184,Ruimtegroepen[],3,FALSE)*VLOOKUP($L184,Vloersoorten[],3,FALSE)*VLOOKUP($S184,Frequenties[],3,FALSE)*VLOOKUP($A184,Locaties[],3,FALSE),0)</f>
        <v>0</v>
      </c>
      <c r="V184" s="111">
        <f>Ruimtestaat[[#This Row],[Uitvoeringen werkdagen]]*Ruimtestaat[[#This Row],[Oppervlak (netto)]]</f>
        <v>4158</v>
      </c>
      <c r="W184" s="112">
        <f>IF(U184&gt;0,Ruimtestaat[[#This Row],[Prest. (m2 /jaar) werkdagen]]/Ruimtestaat[[#This Row],[Norm (m2/uur) werkdagen]],0)</f>
        <v>0</v>
      </c>
      <c r="X184" s="113">
        <f>Ruimtestaat[[#This Row],[uren / jaar werkdagen]]*Tariefsopbouw!$E$35</f>
        <v>0</v>
      </c>
      <c r="Y184" s="110"/>
      <c r="Z184" s="114">
        <f>IF(Ruimtestaat[[#This Row],[Frequentie weekend]]&gt;0,VALUE(LEFT(Y184,1))*R184,0)</f>
        <v>0</v>
      </c>
      <c r="AA184" s="110">
        <f>IF($Z184&gt;0,VLOOKUP($J184,Ruimtegroepen[],3,FALSE)*VLOOKUP($L184,Vloersoorten[],3,FALSE)*VLOOKUP($Y184,Frequenties[],3,FALSE)*VLOOKUP($A180,Locaties[],3,FALSE),0)</f>
        <v>0</v>
      </c>
      <c r="AB184" s="112">
        <f>Ruimtestaat[[#This Row],[Uitvoeringen weekend]]*Ruimtestaat[[#This Row],[Oppervlak (netto)]]</f>
        <v>0</v>
      </c>
      <c r="AC184" s="115">
        <f>IF(AB184&gt;0,Ruimtestaat[[#This Row],[Prest. (m2 /jaar) weekend]]/Ruimtestaat[[#This Row],[Norm (m2/uur) weekend]],0)</f>
        <v>0</v>
      </c>
      <c r="AD184" s="116">
        <f>Ruimtestaat[[#This Row],[uren / jaar weekend]]*Tariefsopbouw!$D$40</f>
        <v>0</v>
      </c>
      <c r="AE184" s="82">
        <f>Ruimtestaat[[#This Row],[Prest. (m2 /jaar) weekend]]+Ruimtestaat[[#This Row],[Prest. (m2 /jaar) werkdagen]]</f>
        <v>4158</v>
      </c>
      <c r="AF184" s="82">
        <f>Ruimtestaat[[#This Row],[uren / jaar weekend]]+Ruimtestaat[[#This Row],[uren / jaar werkdagen]]</f>
        <v>0</v>
      </c>
      <c r="AG184" s="83">
        <f>Ruimtestaat[[#This Row],[kosten / jaar weekend]]+Ruimtestaat[[#This Row],[kosten / jaar werkdagen]]</f>
        <v>0</v>
      </c>
      <c r="AH184" s="117"/>
      <c r="HL184" s="87"/>
    </row>
    <row r="185" spans="1:220" ht="15" customHeight="1">
      <c r="A185" s="136">
        <v>1</v>
      </c>
      <c r="B185" s="27" t="str">
        <f>VLOOKUP(Ruimtestaat[[#This Row],[Code]],Locaties[#All],2,FALSE)</f>
        <v>Amstelveen College</v>
      </c>
      <c r="C185" s="27" t="str">
        <f>VLOOKUP(Ruimtestaat[[#This Row],[Code]],Locaties[#All],4,FALSE)</f>
        <v>Sportlaan 27</v>
      </c>
      <c r="D185" s="27" t="str">
        <f>VLOOKUP(Ruimtestaat[[#This Row],[Code]],Locaties[#All],5,FALSE)</f>
        <v>1185 TB</v>
      </c>
      <c r="E185" s="27" t="str">
        <f>VLOOKUP(Ruimtestaat[[#This Row],[Code]],Locaties[#All],6,FALSE)</f>
        <v>Amstelveen</v>
      </c>
      <c r="F185" s="74"/>
      <c r="G185" s="27" t="s">
        <v>273</v>
      </c>
      <c r="H185" s="27" t="s">
        <v>288</v>
      </c>
      <c r="I185" s="24" t="s">
        <v>269</v>
      </c>
      <c r="J185" s="27">
        <v>5</v>
      </c>
      <c r="K185" s="74" t="str">
        <f>VLOOKUP(J185,Ruimtegroepen[],2,FALSE)</f>
        <v>Sanitair</v>
      </c>
      <c r="L185" s="27" t="s">
        <v>115</v>
      </c>
      <c r="M185" s="27" t="s">
        <v>271</v>
      </c>
      <c r="N185" s="107">
        <v>9.9</v>
      </c>
      <c r="O185" s="107"/>
      <c r="P185" s="118" t="str">
        <f>LEFT(VLOOKUP(Ruimtestaat[[#This Row],[Ruimte code]],Ruimtegroepen[#All],4,1),2)</f>
        <v xml:space="preserve">S </v>
      </c>
      <c r="Q185" s="118"/>
      <c r="R185" s="108">
        <v>42</v>
      </c>
      <c r="S185" s="109" t="s">
        <v>19</v>
      </c>
      <c r="T185" s="110">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85" s="110">
        <f>IF(T185&gt;0,VLOOKUP($J185,Ruimtegroepen[],3,FALSE)*VLOOKUP($L185,Vloersoorten[],3,FALSE)*VLOOKUP($S185,Frequenties[],3,FALSE)*VLOOKUP($A185,Locaties[],3,FALSE),0)</f>
        <v>0</v>
      </c>
      <c r="V185" s="111">
        <f>Ruimtestaat[[#This Row],[Uitvoeringen werkdagen]]*Ruimtestaat[[#This Row],[Oppervlak (netto)]]</f>
        <v>4158</v>
      </c>
      <c r="W185" s="112">
        <f>IF(U185&gt;0,Ruimtestaat[[#This Row],[Prest. (m2 /jaar) werkdagen]]/Ruimtestaat[[#This Row],[Norm (m2/uur) werkdagen]],0)</f>
        <v>0</v>
      </c>
      <c r="X185" s="113">
        <f>Ruimtestaat[[#This Row],[uren / jaar werkdagen]]*Tariefsopbouw!$E$35</f>
        <v>0</v>
      </c>
      <c r="Y185" s="110"/>
      <c r="Z185" s="114">
        <f>IF(Ruimtestaat[[#This Row],[Frequentie weekend]]&gt;0,VALUE(LEFT(Y185,1))*R185,0)</f>
        <v>0</v>
      </c>
      <c r="AA185" s="110">
        <f>IF($Z185&gt;0,VLOOKUP($J185,Ruimtegroepen[],3,FALSE)*VLOOKUP($L185,Vloersoorten[],3,FALSE)*VLOOKUP($Y185,Frequenties[],3,FALSE)*VLOOKUP($A181,Locaties[],3,FALSE),0)</f>
        <v>0</v>
      </c>
      <c r="AB185" s="112">
        <f>Ruimtestaat[[#This Row],[Uitvoeringen weekend]]*Ruimtestaat[[#This Row],[Oppervlak (netto)]]</f>
        <v>0</v>
      </c>
      <c r="AC185" s="115">
        <f>IF(AB185&gt;0,Ruimtestaat[[#This Row],[Prest. (m2 /jaar) weekend]]/Ruimtestaat[[#This Row],[Norm (m2/uur) weekend]],0)</f>
        <v>0</v>
      </c>
      <c r="AD185" s="116">
        <f>Ruimtestaat[[#This Row],[uren / jaar weekend]]*Tariefsopbouw!$D$40</f>
        <v>0</v>
      </c>
      <c r="AE185" s="82">
        <f>Ruimtestaat[[#This Row],[Prest. (m2 /jaar) weekend]]+Ruimtestaat[[#This Row],[Prest. (m2 /jaar) werkdagen]]</f>
        <v>4158</v>
      </c>
      <c r="AF185" s="82">
        <f>Ruimtestaat[[#This Row],[uren / jaar weekend]]+Ruimtestaat[[#This Row],[uren / jaar werkdagen]]</f>
        <v>0</v>
      </c>
      <c r="AG185" s="83">
        <f>Ruimtestaat[[#This Row],[kosten / jaar weekend]]+Ruimtestaat[[#This Row],[kosten / jaar werkdagen]]</f>
        <v>0</v>
      </c>
      <c r="AH185" s="117"/>
      <c r="HL185" s="87"/>
    </row>
    <row r="186" spans="1:220" ht="15" customHeight="1">
      <c r="A186" s="136">
        <v>1</v>
      </c>
      <c r="B186" s="27" t="str">
        <f>VLOOKUP(Ruimtestaat[[#This Row],[Code]],Locaties[#All],2,FALSE)</f>
        <v>Amstelveen College</v>
      </c>
      <c r="C186" s="27" t="str">
        <f>VLOOKUP(Ruimtestaat[[#This Row],[Code]],Locaties[#All],4,FALSE)</f>
        <v>Sportlaan 27</v>
      </c>
      <c r="D186" s="27" t="str">
        <f>VLOOKUP(Ruimtestaat[[#This Row],[Code]],Locaties[#All],5,FALSE)</f>
        <v>1185 TB</v>
      </c>
      <c r="E186" s="27" t="str">
        <f>VLOOKUP(Ruimtestaat[[#This Row],[Code]],Locaties[#All],6,FALSE)</f>
        <v>Amstelveen</v>
      </c>
      <c r="F186" s="74"/>
      <c r="G186" s="27" t="s">
        <v>273</v>
      </c>
      <c r="H186" s="27" t="s">
        <v>289</v>
      </c>
      <c r="I186" s="24" t="s">
        <v>372</v>
      </c>
      <c r="J186" s="27">
        <v>20</v>
      </c>
      <c r="K186" s="74" t="str">
        <f>VLOOKUP(J186,Ruimtegroepen[],2,FALSE)</f>
        <v>Niet in onderhoud</v>
      </c>
      <c r="L186" s="27" t="s">
        <v>114</v>
      </c>
      <c r="M186" s="27" t="s">
        <v>139</v>
      </c>
      <c r="O186" s="107">
        <v>6.5</v>
      </c>
      <c r="P186" s="118" t="str">
        <f>LEFT(VLOOKUP(Ruimtestaat[[#This Row],[Ruimte code]],Ruimtegroepen[#All],4,1),2)</f>
        <v/>
      </c>
      <c r="Q186" s="118"/>
      <c r="R186" s="108">
        <v>0</v>
      </c>
      <c r="S186" s="109"/>
      <c r="T186" s="110">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6" s="110">
        <f>IF(T186&gt;0,VLOOKUP($J186,Ruimtegroepen[],3,FALSE)*VLOOKUP($L186,Vloersoorten[],3,FALSE)*VLOOKUP($S186,Frequenties[],3,FALSE)*VLOOKUP($A186,Locaties[],3,FALSE),0)</f>
        <v>0</v>
      </c>
      <c r="V186" s="111">
        <f>Ruimtestaat[[#This Row],[Uitvoeringen werkdagen]]*Ruimtestaat[[#This Row],[Oppervlak (netto)]]</f>
        <v>0</v>
      </c>
      <c r="W186" s="112">
        <f>IF(U186&gt;0,Ruimtestaat[[#This Row],[Prest. (m2 /jaar) werkdagen]]/Ruimtestaat[[#This Row],[Norm (m2/uur) werkdagen]],0)</f>
        <v>0</v>
      </c>
      <c r="X186" s="113">
        <f>Ruimtestaat[[#This Row],[uren / jaar werkdagen]]*Tariefsopbouw!$E$35</f>
        <v>0</v>
      </c>
      <c r="Y186" s="110"/>
      <c r="Z186" s="114">
        <f>IF(Ruimtestaat[[#This Row],[Frequentie weekend]]&gt;0,VALUE(LEFT(Y186,1))*R186,0)</f>
        <v>0</v>
      </c>
      <c r="AA186" s="110">
        <f>IF($Z186&gt;0,VLOOKUP($J186,Ruimtegroepen[],3,FALSE)*VLOOKUP($L186,Vloersoorten[],3,FALSE)*VLOOKUP($Y186,Frequenties[],3,FALSE)*VLOOKUP($A182,Locaties[],3,FALSE),0)</f>
        <v>0</v>
      </c>
      <c r="AB186" s="112">
        <f>Ruimtestaat[[#This Row],[Uitvoeringen weekend]]*Ruimtestaat[[#This Row],[Oppervlak (netto)]]</f>
        <v>0</v>
      </c>
      <c r="AC186" s="115">
        <f>IF(AB186&gt;0,Ruimtestaat[[#This Row],[Prest. (m2 /jaar) weekend]]/Ruimtestaat[[#This Row],[Norm (m2/uur) weekend]],0)</f>
        <v>0</v>
      </c>
      <c r="AD186" s="116">
        <f>Ruimtestaat[[#This Row],[uren / jaar weekend]]*Tariefsopbouw!$D$40</f>
        <v>0</v>
      </c>
      <c r="AE186" s="82">
        <f>Ruimtestaat[[#This Row],[Prest. (m2 /jaar) weekend]]+Ruimtestaat[[#This Row],[Prest. (m2 /jaar) werkdagen]]</f>
        <v>0</v>
      </c>
      <c r="AF186" s="82">
        <f>Ruimtestaat[[#This Row],[uren / jaar weekend]]+Ruimtestaat[[#This Row],[uren / jaar werkdagen]]</f>
        <v>0</v>
      </c>
      <c r="AG186" s="83">
        <f>Ruimtestaat[[#This Row],[kosten / jaar weekend]]+Ruimtestaat[[#This Row],[kosten / jaar werkdagen]]</f>
        <v>0</v>
      </c>
      <c r="AH186" s="117"/>
      <c r="HL186" s="87"/>
    </row>
    <row r="187" spans="1:220" ht="15" customHeight="1">
      <c r="A187" s="136">
        <v>1</v>
      </c>
      <c r="B187" s="27" t="str">
        <f>VLOOKUP(Ruimtestaat[[#This Row],[Code]],Locaties[#All],2,FALSE)</f>
        <v>Amstelveen College</v>
      </c>
      <c r="C187" s="27" t="str">
        <f>VLOOKUP(Ruimtestaat[[#This Row],[Code]],Locaties[#All],4,FALSE)</f>
        <v>Sportlaan 27</v>
      </c>
      <c r="D187" s="27" t="str">
        <f>VLOOKUP(Ruimtestaat[[#This Row],[Code]],Locaties[#All],5,FALSE)</f>
        <v>1185 TB</v>
      </c>
      <c r="E187" s="27" t="str">
        <f>VLOOKUP(Ruimtestaat[[#This Row],[Code]],Locaties[#All],6,FALSE)</f>
        <v>Amstelveen</v>
      </c>
      <c r="F187" s="74"/>
      <c r="G187" s="27" t="s">
        <v>273</v>
      </c>
      <c r="H187" s="27" t="s">
        <v>290</v>
      </c>
      <c r="I187" s="24" t="s">
        <v>370</v>
      </c>
      <c r="J187" s="27">
        <v>20</v>
      </c>
      <c r="K187" s="74" t="str">
        <f>VLOOKUP(J187,Ruimtegroepen[],2,FALSE)</f>
        <v>Niet in onderhoud</v>
      </c>
      <c r="L187" s="27" t="s">
        <v>115</v>
      </c>
      <c r="M187" s="27" t="s">
        <v>271</v>
      </c>
      <c r="N187" s="195"/>
      <c r="O187" s="107">
        <v>8.3000000000000007</v>
      </c>
      <c r="P187" s="118" t="str">
        <f>LEFT(VLOOKUP(Ruimtestaat[[#This Row],[Ruimte code]],Ruimtegroepen[#All],4,1),2)</f>
        <v/>
      </c>
      <c r="Q187" s="118"/>
      <c r="R187" s="108">
        <v>0</v>
      </c>
      <c r="S187" s="109"/>
      <c r="T187" s="110">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7" s="110">
        <f>IF(T187&gt;0,VLOOKUP($J187,Ruimtegroepen[],3,FALSE)*VLOOKUP($L187,Vloersoorten[],3,FALSE)*VLOOKUP($S187,Frequenties[],3,FALSE)*VLOOKUP($A187,Locaties[],3,FALSE),0)</f>
        <v>0</v>
      </c>
      <c r="V187" s="111">
        <f>Ruimtestaat[[#This Row],[Uitvoeringen werkdagen]]*Ruimtestaat[[#This Row],[Oppervlak (netto)]]</f>
        <v>0</v>
      </c>
      <c r="W187" s="112">
        <f>IF(U187&gt;0,Ruimtestaat[[#This Row],[Prest. (m2 /jaar) werkdagen]]/Ruimtestaat[[#This Row],[Norm (m2/uur) werkdagen]],0)</f>
        <v>0</v>
      </c>
      <c r="X187" s="113">
        <f>Ruimtestaat[[#This Row],[uren / jaar werkdagen]]*Tariefsopbouw!$E$35</f>
        <v>0</v>
      </c>
      <c r="Y187" s="110"/>
      <c r="Z187" s="114">
        <f>IF(Ruimtestaat[[#This Row],[Frequentie weekend]]&gt;0,VALUE(LEFT(Y187,1))*R187,0)</f>
        <v>0</v>
      </c>
      <c r="AA187" s="110">
        <f>IF($Z187&gt;0,VLOOKUP($J187,Ruimtegroepen[],3,FALSE)*VLOOKUP($L187,Vloersoorten[],3,FALSE)*VLOOKUP($Y187,Frequenties[],3,FALSE)*VLOOKUP($A183,Locaties[],3,FALSE),0)</f>
        <v>0</v>
      </c>
      <c r="AB187" s="112">
        <f>Ruimtestaat[[#This Row],[Uitvoeringen weekend]]*Ruimtestaat[[#This Row],[Oppervlak (netto)]]</f>
        <v>0</v>
      </c>
      <c r="AC187" s="115">
        <f>IF(AB187&gt;0,Ruimtestaat[[#This Row],[Prest. (m2 /jaar) weekend]]/Ruimtestaat[[#This Row],[Norm (m2/uur) weekend]],0)</f>
        <v>0</v>
      </c>
      <c r="AD187" s="116">
        <f>Ruimtestaat[[#This Row],[uren / jaar weekend]]*Tariefsopbouw!$D$40</f>
        <v>0</v>
      </c>
      <c r="AE187" s="82">
        <f>Ruimtestaat[[#This Row],[Prest. (m2 /jaar) weekend]]+Ruimtestaat[[#This Row],[Prest. (m2 /jaar) werkdagen]]</f>
        <v>0</v>
      </c>
      <c r="AF187" s="82">
        <f>Ruimtestaat[[#This Row],[uren / jaar weekend]]+Ruimtestaat[[#This Row],[uren / jaar werkdagen]]</f>
        <v>0</v>
      </c>
      <c r="AG187" s="83">
        <f>Ruimtestaat[[#This Row],[kosten / jaar weekend]]+Ruimtestaat[[#This Row],[kosten / jaar werkdagen]]</f>
        <v>0</v>
      </c>
      <c r="AH187" s="117"/>
      <c r="HL187" s="87"/>
    </row>
    <row r="188" spans="1:220" ht="15" customHeight="1">
      <c r="A188" s="136">
        <v>1</v>
      </c>
      <c r="B188" s="27" t="str">
        <f>VLOOKUP(Ruimtestaat[[#This Row],[Code]],Locaties[#All],2,FALSE)</f>
        <v>Amstelveen College</v>
      </c>
      <c r="C188" s="27" t="str">
        <f>VLOOKUP(Ruimtestaat[[#This Row],[Code]],Locaties[#All],4,FALSE)</f>
        <v>Sportlaan 27</v>
      </c>
      <c r="D188" s="27" t="str">
        <f>VLOOKUP(Ruimtestaat[[#This Row],[Code]],Locaties[#All],5,FALSE)</f>
        <v>1185 TB</v>
      </c>
      <c r="E188" s="27" t="str">
        <f>VLOOKUP(Ruimtestaat[[#This Row],[Code]],Locaties[#All],6,FALSE)</f>
        <v>Amstelveen</v>
      </c>
      <c r="F188" s="74"/>
      <c r="G188" s="27" t="s">
        <v>273</v>
      </c>
      <c r="H188" s="27" t="s">
        <v>291</v>
      </c>
      <c r="I188" s="24" t="s">
        <v>323</v>
      </c>
      <c r="J188" s="27">
        <v>4</v>
      </c>
      <c r="K188" s="74" t="str">
        <f>VLOOKUP(J188,Ruimtegroepen[],2,FALSE)</f>
        <v>Vergader/spreekkamers</v>
      </c>
      <c r="L188" s="27" t="s">
        <v>113</v>
      </c>
      <c r="M188" s="27" t="s">
        <v>39</v>
      </c>
      <c r="N188" s="107">
        <v>8.3000000000000007</v>
      </c>
      <c r="O188" s="107"/>
      <c r="P188" s="118" t="str">
        <f>LEFT(VLOOKUP(Ruimtestaat[[#This Row],[Ruimte code]],Ruimtegroepen[#All],4,1),2)</f>
        <v xml:space="preserve">B </v>
      </c>
      <c r="Q188" s="118"/>
      <c r="R188" s="108">
        <v>40</v>
      </c>
      <c r="S188" s="109" t="s">
        <v>15</v>
      </c>
      <c r="T188" s="110">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88" s="110">
        <f>IF(T188&gt;0,VLOOKUP($J188,Ruimtegroepen[],3,FALSE)*VLOOKUP($L188,Vloersoorten[],3,FALSE)*VLOOKUP($S188,Frequenties[],3,FALSE)*VLOOKUP($A188,Locaties[],3,FALSE),0)</f>
        <v>0</v>
      </c>
      <c r="V188" s="111">
        <f>Ruimtestaat[[#This Row],[Uitvoeringen werkdagen]]*Ruimtestaat[[#This Row],[Oppervlak (netto)]]</f>
        <v>332</v>
      </c>
      <c r="W188" s="112">
        <f>IF(U188&gt;0,Ruimtestaat[[#This Row],[Prest. (m2 /jaar) werkdagen]]/Ruimtestaat[[#This Row],[Norm (m2/uur) werkdagen]],0)</f>
        <v>0</v>
      </c>
      <c r="X188" s="113">
        <f>Ruimtestaat[[#This Row],[uren / jaar werkdagen]]*Tariefsopbouw!$E$35</f>
        <v>0</v>
      </c>
      <c r="Y188" s="110"/>
      <c r="Z188" s="114">
        <f>IF(Ruimtestaat[[#This Row],[Frequentie weekend]]&gt;0,VALUE(LEFT(Y188,1))*R188,0)</f>
        <v>0</v>
      </c>
      <c r="AA188" s="110">
        <f>IF($Z188&gt;0,VLOOKUP($J188,Ruimtegroepen[],3,FALSE)*VLOOKUP($L188,Vloersoorten[],3,FALSE)*VLOOKUP($Y188,Frequenties[],3,FALSE)*VLOOKUP($A184,Locaties[],3,FALSE),0)</f>
        <v>0</v>
      </c>
      <c r="AB188" s="112">
        <f>Ruimtestaat[[#This Row],[Uitvoeringen weekend]]*Ruimtestaat[[#This Row],[Oppervlak (netto)]]</f>
        <v>0</v>
      </c>
      <c r="AC188" s="115">
        <f>IF(AB188&gt;0,Ruimtestaat[[#This Row],[Prest. (m2 /jaar) weekend]]/Ruimtestaat[[#This Row],[Norm (m2/uur) weekend]],0)</f>
        <v>0</v>
      </c>
      <c r="AD188" s="116">
        <f>Ruimtestaat[[#This Row],[uren / jaar weekend]]*Tariefsopbouw!$D$40</f>
        <v>0</v>
      </c>
      <c r="AE188" s="82">
        <f>Ruimtestaat[[#This Row],[Prest. (m2 /jaar) weekend]]+Ruimtestaat[[#This Row],[Prest. (m2 /jaar) werkdagen]]</f>
        <v>332</v>
      </c>
      <c r="AF188" s="82">
        <f>Ruimtestaat[[#This Row],[uren / jaar weekend]]+Ruimtestaat[[#This Row],[uren / jaar werkdagen]]</f>
        <v>0</v>
      </c>
      <c r="AG188" s="83">
        <f>Ruimtestaat[[#This Row],[kosten / jaar weekend]]+Ruimtestaat[[#This Row],[kosten / jaar werkdagen]]</f>
        <v>0</v>
      </c>
      <c r="AH188" s="117"/>
      <c r="HL188" s="87"/>
    </row>
    <row r="189" spans="1:220" ht="15" customHeight="1">
      <c r="A189" s="136">
        <v>1</v>
      </c>
      <c r="B189" s="27" t="str">
        <f>VLOOKUP(Ruimtestaat[[#This Row],[Code]],Locaties[#All],2,FALSE)</f>
        <v>Amstelveen College</v>
      </c>
      <c r="C189" s="27" t="str">
        <f>VLOOKUP(Ruimtestaat[[#This Row],[Code]],Locaties[#All],4,FALSE)</f>
        <v>Sportlaan 27</v>
      </c>
      <c r="D189" s="27" t="str">
        <f>VLOOKUP(Ruimtestaat[[#This Row],[Code]],Locaties[#All],5,FALSE)</f>
        <v>1185 TB</v>
      </c>
      <c r="E189" s="27" t="str">
        <f>VLOOKUP(Ruimtestaat[[#This Row],[Code]],Locaties[#All],6,FALSE)</f>
        <v>Amstelveen</v>
      </c>
      <c r="F189" s="74"/>
      <c r="G189" s="27" t="s">
        <v>273</v>
      </c>
      <c r="H189" s="27" t="s">
        <v>292</v>
      </c>
      <c r="I189" s="24" t="s">
        <v>378</v>
      </c>
      <c r="J189" s="27">
        <v>20</v>
      </c>
      <c r="K189" s="74" t="str">
        <f>VLOOKUP(J189,Ruimtegroepen[],2,FALSE)</f>
        <v>Niet in onderhoud</v>
      </c>
      <c r="L189" s="27" t="s">
        <v>115</v>
      </c>
      <c r="M189" s="27" t="s">
        <v>271</v>
      </c>
      <c r="O189" s="107">
        <v>16.3</v>
      </c>
      <c r="P189" s="118" t="str">
        <f>LEFT(VLOOKUP(Ruimtestaat[[#This Row],[Ruimte code]],Ruimtegroepen[#All],4,1),2)</f>
        <v/>
      </c>
      <c r="Q189" s="118"/>
      <c r="R189" s="108">
        <v>0</v>
      </c>
      <c r="S189" s="109"/>
      <c r="T189" s="110">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89" s="110">
        <f>IF(T189&gt;0,VLOOKUP($J189,Ruimtegroepen[],3,FALSE)*VLOOKUP($L189,Vloersoorten[],3,FALSE)*VLOOKUP($S189,Frequenties[],3,FALSE)*VLOOKUP($A189,Locaties[],3,FALSE),0)</f>
        <v>0</v>
      </c>
      <c r="V189" s="111">
        <f>Ruimtestaat[[#This Row],[Uitvoeringen werkdagen]]*Ruimtestaat[[#This Row],[Oppervlak (netto)]]</f>
        <v>0</v>
      </c>
      <c r="W189" s="112">
        <f>IF(U189&gt;0,Ruimtestaat[[#This Row],[Prest. (m2 /jaar) werkdagen]]/Ruimtestaat[[#This Row],[Norm (m2/uur) werkdagen]],0)</f>
        <v>0</v>
      </c>
      <c r="X189" s="113">
        <f>Ruimtestaat[[#This Row],[uren / jaar werkdagen]]*Tariefsopbouw!$E$35</f>
        <v>0</v>
      </c>
      <c r="Y189" s="110"/>
      <c r="Z189" s="114">
        <f>IF(Ruimtestaat[[#This Row],[Frequentie weekend]]&gt;0,VALUE(LEFT(Y189,1))*R189,0)</f>
        <v>0</v>
      </c>
      <c r="AA189" s="110">
        <f>IF($Z189&gt;0,VLOOKUP($J189,Ruimtegroepen[],3,FALSE)*VLOOKUP($L189,Vloersoorten[],3,FALSE)*VLOOKUP($Y189,Frequenties[],3,FALSE)*VLOOKUP($A185,Locaties[],3,FALSE),0)</f>
        <v>0</v>
      </c>
      <c r="AB189" s="112">
        <f>Ruimtestaat[[#This Row],[Uitvoeringen weekend]]*Ruimtestaat[[#This Row],[Oppervlak (netto)]]</f>
        <v>0</v>
      </c>
      <c r="AC189" s="115">
        <f>IF(AB189&gt;0,Ruimtestaat[[#This Row],[Prest. (m2 /jaar) weekend]]/Ruimtestaat[[#This Row],[Norm (m2/uur) weekend]],0)</f>
        <v>0</v>
      </c>
      <c r="AD189" s="116">
        <f>Ruimtestaat[[#This Row],[uren / jaar weekend]]*Tariefsopbouw!$D$40</f>
        <v>0</v>
      </c>
      <c r="AE189" s="82">
        <f>Ruimtestaat[[#This Row],[Prest. (m2 /jaar) weekend]]+Ruimtestaat[[#This Row],[Prest. (m2 /jaar) werkdagen]]</f>
        <v>0</v>
      </c>
      <c r="AF189" s="82">
        <f>Ruimtestaat[[#This Row],[uren / jaar weekend]]+Ruimtestaat[[#This Row],[uren / jaar werkdagen]]</f>
        <v>0</v>
      </c>
      <c r="AG189" s="83">
        <f>Ruimtestaat[[#This Row],[kosten / jaar weekend]]+Ruimtestaat[[#This Row],[kosten / jaar werkdagen]]</f>
        <v>0</v>
      </c>
      <c r="AH189" s="117"/>
      <c r="HL189" s="87"/>
    </row>
    <row r="190" spans="1:220" ht="15" customHeight="1">
      <c r="A190" s="136">
        <v>1</v>
      </c>
      <c r="B190" s="27" t="str">
        <f>VLOOKUP(Ruimtestaat[[#This Row],[Code]],Locaties[#All],2,FALSE)</f>
        <v>Amstelveen College</v>
      </c>
      <c r="C190" s="27" t="str">
        <f>VLOOKUP(Ruimtestaat[[#This Row],[Code]],Locaties[#All],4,FALSE)</f>
        <v>Sportlaan 27</v>
      </c>
      <c r="D190" s="27" t="str">
        <f>VLOOKUP(Ruimtestaat[[#This Row],[Code]],Locaties[#All],5,FALSE)</f>
        <v>1185 TB</v>
      </c>
      <c r="E190" s="27" t="str">
        <f>VLOOKUP(Ruimtestaat[[#This Row],[Code]],Locaties[#All],6,FALSE)</f>
        <v>Amstelveen</v>
      </c>
      <c r="F190" s="74"/>
      <c r="G190" s="27" t="s">
        <v>273</v>
      </c>
      <c r="H190" s="27" t="s">
        <v>293</v>
      </c>
      <c r="I190" s="24" t="s">
        <v>369</v>
      </c>
      <c r="J190" s="27">
        <v>6</v>
      </c>
      <c r="K190" s="74" t="str">
        <f>VLOOKUP(J190,Ruimtegroepen[],2,FALSE)</f>
        <v>Gangen/hallen</v>
      </c>
      <c r="L190" s="27" t="s">
        <v>114</v>
      </c>
      <c r="M190" s="27" t="s">
        <v>139</v>
      </c>
      <c r="N190" s="107">
        <v>91.5</v>
      </c>
      <c r="O190" s="107"/>
      <c r="P190" s="118" t="str">
        <f>LEFT(VLOOKUP(Ruimtestaat[[#This Row],[Ruimte code]],Ruimtegroepen[#All],4,1),2)</f>
        <v xml:space="preserve">V </v>
      </c>
      <c r="Q190" s="118"/>
      <c r="R190" s="108">
        <v>42</v>
      </c>
      <c r="S190" s="109" t="s">
        <v>2</v>
      </c>
      <c r="T190" s="110">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90" s="110">
        <f>IF(T190&gt;0,VLOOKUP($J190,Ruimtegroepen[],3,FALSE)*VLOOKUP($L190,Vloersoorten[],3,FALSE)*VLOOKUP($S190,Frequenties[],3,FALSE)*VLOOKUP($A190,Locaties[],3,FALSE),0)</f>
        <v>0</v>
      </c>
      <c r="V190" s="111">
        <f>Ruimtestaat[[#This Row],[Uitvoeringen werkdagen]]*Ruimtestaat[[#This Row],[Oppervlak (netto)]]</f>
        <v>19215</v>
      </c>
      <c r="W190" s="112">
        <f>IF(U190&gt;0,Ruimtestaat[[#This Row],[Prest. (m2 /jaar) werkdagen]]/Ruimtestaat[[#This Row],[Norm (m2/uur) werkdagen]],0)</f>
        <v>0</v>
      </c>
      <c r="X190" s="113">
        <f>Ruimtestaat[[#This Row],[uren / jaar werkdagen]]*Tariefsopbouw!$E$35</f>
        <v>0</v>
      </c>
      <c r="Y190" s="110"/>
      <c r="Z190" s="114">
        <f>IF(Ruimtestaat[[#This Row],[Frequentie weekend]]&gt;0,VALUE(LEFT(Y190,1))*R190,0)</f>
        <v>0</v>
      </c>
      <c r="AA190" s="110">
        <f>IF($Z190&gt;0,VLOOKUP($J190,Ruimtegroepen[],3,FALSE)*VLOOKUP($L190,Vloersoorten[],3,FALSE)*VLOOKUP($Y190,Frequenties[],3,FALSE)*VLOOKUP($A186,Locaties[],3,FALSE),0)</f>
        <v>0</v>
      </c>
      <c r="AB190" s="112">
        <f>Ruimtestaat[[#This Row],[Uitvoeringen weekend]]*Ruimtestaat[[#This Row],[Oppervlak (netto)]]</f>
        <v>0</v>
      </c>
      <c r="AC190" s="115">
        <f>IF(AB190&gt;0,Ruimtestaat[[#This Row],[Prest. (m2 /jaar) weekend]]/Ruimtestaat[[#This Row],[Norm (m2/uur) weekend]],0)</f>
        <v>0</v>
      </c>
      <c r="AD190" s="116">
        <f>Ruimtestaat[[#This Row],[uren / jaar weekend]]*Tariefsopbouw!$D$40</f>
        <v>0</v>
      </c>
      <c r="AE190" s="82">
        <f>Ruimtestaat[[#This Row],[Prest. (m2 /jaar) weekend]]+Ruimtestaat[[#This Row],[Prest. (m2 /jaar) werkdagen]]</f>
        <v>19215</v>
      </c>
      <c r="AF190" s="82">
        <f>Ruimtestaat[[#This Row],[uren / jaar weekend]]+Ruimtestaat[[#This Row],[uren / jaar werkdagen]]</f>
        <v>0</v>
      </c>
      <c r="AG190" s="83">
        <f>Ruimtestaat[[#This Row],[kosten / jaar weekend]]+Ruimtestaat[[#This Row],[kosten / jaar werkdagen]]</f>
        <v>0</v>
      </c>
      <c r="AH190" s="117"/>
      <c r="HL190" s="87"/>
    </row>
    <row r="191" spans="1:220" ht="15" customHeight="1">
      <c r="A191" s="136">
        <v>1</v>
      </c>
      <c r="B191" s="27" t="str">
        <f>VLOOKUP(Ruimtestaat[[#This Row],[Code]],Locaties[#All],2,FALSE)</f>
        <v>Amstelveen College</v>
      </c>
      <c r="C191" s="27" t="str">
        <f>VLOOKUP(Ruimtestaat[[#This Row],[Code]],Locaties[#All],4,FALSE)</f>
        <v>Sportlaan 27</v>
      </c>
      <c r="D191" s="27" t="str">
        <f>VLOOKUP(Ruimtestaat[[#This Row],[Code]],Locaties[#All],5,FALSE)</f>
        <v>1185 TB</v>
      </c>
      <c r="E191" s="27" t="str">
        <f>VLOOKUP(Ruimtestaat[[#This Row],[Code]],Locaties[#All],6,FALSE)</f>
        <v>Amstelveen</v>
      </c>
      <c r="F191" s="74"/>
      <c r="G191" s="27" t="s">
        <v>273</v>
      </c>
      <c r="H191" s="27" t="s">
        <v>294</v>
      </c>
      <c r="I191" s="24" t="s">
        <v>324</v>
      </c>
      <c r="J191" s="27">
        <v>10</v>
      </c>
      <c r="K191" s="74" t="str">
        <f>VLOOKUP(J191,Ruimtegroepen[],2,FALSE)</f>
        <v>Trappenhuizen/lift</v>
      </c>
      <c r="L191" s="27" t="s">
        <v>115</v>
      </c>
      <c r="M191" s="27" t="s">
        <v>275</v>
      </c>
      <c r="N191" s="107">
        <v>11.5</v>
      </c>
      <c r="O191" s="107"/>
      <c r="P191" s="118" t="str">
        <f>LEFT(VLOOKUP(Ruimtestaat[[#This Row],[Ruimte code]],Ruimtegroepen[#All],4,1),2)</f>
        <v xml:space="preserve">V </v>
      </c>
      <c r="Q191" s="118"/>
      <c r="R191" s="108">
        <v>40</v>
      </c>
      <c r="S191" s="109" t="s">
        <v>2</v>
      </c>
      <c r="T191" s="110">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1" s="110">
        <f>IF(T191&gt;0,VLOOKUP($J191,Ruimtegroepen[],3,FALSE)*VLOOKUP($L191,Vloersoorten[],3,FALSE)*VLOOKUP($S191,Frequenties[],3,FALSE)*VLOOKUP($A191,Locaties[],3,FALSE),0)</f>
        <v>0</v>
      </c>
      <c r="V191" s="111">
        <f>Ruimtestaat[[#This Row],[Uitvoeringen werkdagen]]*Ruimtestaat[[#This Row],[Oppervlak (netto)]]</f>
        <v>2300</v>
      </c>
      <c r="W191" s="112">
        <f>IF(U191&gt;0,Ruimtestaat[[#This Row],[Prest. (m2 /jaar) werkdagen]]/Ruimtestaat[[#This Row],[Norm (m2/uur) werkdagen]],0)</f>
        <v>0</v>
      </c>
      <c r="X191" s="113">
        <f>Ruimtestaat[[#This Row],[uren / jaar werkdagen]]*Tariefsopbouw!$E$35</f>
        <v>0</v>
      </c>
      <c r="Y191" s="110"/>
      <c r="Z191" s="114">
        <f>IF(Ruimtestaat[[#This Row],[Frequentie weekend]]&gt;0,VALUE(LEFT(Y191,1))*R191,0)</f>
        <v>0</v>
      </c>
      <c r="AA191" s="110">
        <f>IF($Z191&gt;0,VLOOKUP($J191,Ruimtegroepen[],3,FALSE)*VLOOKUP($L191,Vloersoorten[],3,FALSE)*VLOOKUP($Y191,Frequenties[],3,FALSE)*VLOOKUP($A187,Locaties[],3,FALSE),0)</f>
        <v>0</v>
      </c>
      <c r="AB191" s="112">
        <f>Ruimtestaat[[#This Row],[Uitvoeringen weekend]]*Ruimtestaat[[#This Row],[Oppervlak (netto)]]</f>
        <v>0</v>
      </c>
      <c r="AC191" s="115">
        <f>IF(AB191&gt;0,Ruimtestaat[[#This Row],[Prest. (m2 /jaar) weekend]]/Ruimtestaat[[#This Row],[Norm (m2/uur) weekend]],0)</f>
        <v>0</v>
      </c>
      <c r="AD191" s="116">
        <f>Ruimtestaat[[#This Row],[uren / jaar weekend]]*Tariefsopbouw!$D$40</f>
        <v>0</v>
      </c>
      <c r="AE191" s="82">
        <f>Ruimtestaat[[#This Row],[Prest. (m2 /jaar) weekend]]+Ruimtestaat[[#This Row],[Prest. (m2 /jaar) werkdagen]]</f>
        <v>2300</v>
      </c>
      <c r="AF191" s="82">
        <f>Ruimtestaat[[#This Row],[uren / jaar weekend]]+Ruimtestaat[[#This Row],[uren / jaar werkdagen]]</f>
        <v>0</v>
      </c>
      <c r="AG191" s="83">
        <f>Ruimtestaat[[#This Row],[kosten / jaar weekend]]+Ruimtestaat[[#This Row],[kosten / jaar werkdagen]]</f>
        <v>0</v>
      </c>
      <c r="AH191" s="117"/>
      <c r="HL191" s="87"/>
    </row>
    <row r="192" spans="1:220" ht="15" customHeight="1">
      <c r="A192" s="136">
        <v>1</v>
      </c>
      <c r="B192" s="27" t="str">
        <f>VLOOKUP(Ruimtestaat[[#This Row],[Code]],Locaties[#All],2,FALSE)</f>
        <v>Amstelveen College</v>
      </c>
      <c r="C192" s="27" t="str">
        <f>VLOOKUP(Ruimtestaat[[#This Row],[Code]],Locaties[#All],4,FALSE)</f>
        <v>Sportlaan 27</v>
      </c>
      <c r="D192" s="27" t="str">
        <f>VLOOKUP(Ruimtestaat[[#This Row],[Code]],Locaties[#All],5,FALSE)</f>
        <v>1185 TB</v>
      </c>
      <c r="E192" s="27" t="str">
        <f>VLOOKUP(Ruimtestaat[[#This Row],[Code]],Locaties[#All],6,FALSE)</f>
        <v>Amstelveen</v>
      </c>
      <c r="F192" s="74"/>
      <c r="G192" s="27" t="s">
        <v>273</v>
      </c>
      <c r="H192" s="27" t="s">
        <v>295</v>
      </c>
      <c r="I192" s="24" t="s">
        <v>324</v>
      </c>
      <c r="J192" s="27">
        <v>10</v>
      </c>
      <c r="K192" s="74" t="str">
        <f>VLOOKUP(J192,Ruimtegroepen[],2,FALSE)</f>
        <v>Trappenhuizen/lift</v>
      </c>
      <c r="L192" s="27" t="s">
        <v>115</v>
      </c>
      <c r="M192" s="27" t="s">
        <v>275</v>
      </c>
      <c r="N192" s="107">
        <v>11.5</v>
      </c>
      <c r="O192" s="107"/>
      <c r="P192" s="118" t="str">
        <f>LEFT(VLOOKUP(Ruimtestaat[[#This Row],[Ruimte code]],Ruimtegroepen[#All],4,1),2)</f>
        <v xml:space="preserve">V </v>
      </c>
      <c r="Q192" s="118"/>
      <c r="R192" s="108">
        <v>40</v>
      </c>
      <c r="S192" s="109" t="s">
        <v>2</v>
      </c>
      <c r="T192" s="110">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110">
        <f>IF(T192&gt;0,VLOOKUP($J192,Ruimtegroepen[],3,FALSE)*VLOOKUP($L192,Vloersoorten[],3,FALSE)*VLOOKUP($S192,Frequenties[],3,FALSE)*VLOOKUP($A192,Locaties[],3,FALSE),0)</f>
        <v>0</v>
      </c>
      <c r="V192" s="111">
        <f>Ruimtestaat[[#This Row],[Uitvoeringen werkdagen]]*Ruimtestaat[[#This Row],[Oppervlak (netto)]]</f>
        <v>2300</v>
      </c>
      <c r="W192" s="112">
        <f>IF(U192&gt;0,Ruimtestaat[[#This Row],[Prest. (m2 /jaar) werkdagen]]/Ruimtestaat[[#This Row],[Norm (m2/uur) werkdagen]],0)</f>
        <v>0</v>
      </c>
      <c r="X192" s="113">
        <f>Ruimtestaat[[#This Row],[uren / jaar werkdagen]]*Tariefsopbouw!$E$35</f>
        <v>0</v>
      </c>
      <c r="Y192" s="110"/>
      <c r="Z192" s="114">
        <f>IF(Ruimtestaat[[#This Row],[Frequentie weekend]]&gt;0,VALUE(LEFT(Y192,1))*R192,0)</f>
        <v>0</v>
      </c>
      <c r="AA192" s="110">
        <f>IF($Z192&gt;0,VLOOKUP($J192,Ruimtegroepen[],3,FALSE)*VLOOKUP($L192,Vloersoorten[],3,FALSE)*VLOOKUP($Y192,Frequenties[],3,FALSE)*VLOOKUP($A188,Locaties[],3,FALSE),0)</f>
        <v>0</v>
      </c>
      <c r="AB192" s="112">
        <f>Ruimtestaat[[#This Row],[Uitvoeringen weekend]]*Ruimtestaat[[#This Row],[Oppervlak (netto)]]</f>
        <v>0</v>
      </c>
      <c r="AC192" s="115">
        <f>IF(AB192&gt;0,Ruimtestaat[[#This Row],[Prest. (m2 /jaar) weekend]]/Ruimtestaat[[#This Row],[Norm (m2/uur) weekend]],0)</f>
        <v>0</v>
      </c>
      <c r="AD192" s="116">
        <f>Ruimtestaat[[#This Row],[uren / jaar weekend]]*Tariefsopbouw!$D$40</f>
        <v>0</v>
      </c>
      <c r="AE192" s="82">
        <f>Ruimtestaat[[#This Row],[Prest. (m2 /jaar) weekend]]+Ruimtestaat[[#This Row],[Prest. (m2 /jaar) werkdagen]]</f>
        <v>2300</v>
      </c>
      <c r="AF192" s="82">
        <f>Ruimtestaat[[#This Row],[uren / jaar weekend]]+Ruimtestaat[[#This Row],[uren / jaar werkdagen]]</f>
        <v>0</v>
      </c>
      <c r="AG192" s="83">
        <f>Ruimtestaat[[#This Row],[kosten / jaar weekend]]+Ruimtestaat[[#This Row],[kosten / jaar werkdagen]]</f>
        <v>0</v>
      </c>
      <c r="AH192" s="117"/>
      <c r="HL192" s="87"/>
    </row>
    <row r="193" spans="1:220" ht="15" customHeight="1">
      <c r="A193" s="136">
        <v>1</v>
      </c>
      <c r="B193" s="27" t="str">
        <f>VLOOKUP(Ruimtestaat[[#This Row],[Code]],Locaties[#All],2,FALSE)</f>
        <v>Amstelveen College</v>
      </c>
      <c r="C193" s="27" t="str">
        <f>VLOOKUP(Ruimtestaat[[#This Row],[Code]],Locaties[#All],4,FALSE)</f>
        <v>Sportlaan 27</v>
      </c>
      <c r="D193" s="27" t="str">
        <f>VLOOKUP(Ruimtestaat[[#This Row],[Code]],Locaties[#All],5,FALSE)</f>
        <v>1185 TB</v>
      </c>
      <c r="E193" s="27" t="str">
        <f>VLOOKUP(Ruimtestaat[[#This Row],[Code]],Locaties[#All],6,FALSE)</f>
        <v>Amstelveen</v>
      </c>
      <c r="F193" s="74"/>
      <c r="G193" s="27" t="s">
        <v>273</v>
      </c>
      <c r="H193" s="27" t="s">
        <v>296</v>
      </c>
      <c r="I193" s="24" t="s">
        <v>269</v>
      </c>
      <c r="J193" s="27">
        <v>5</v>
      </c>
      <c r="K193" s="74" t="str">
        <f>VLOOKUP(J193,Ruimtegroepen[],2,FALSE)</f>
        <v>Sanitair</v>
      </c>
      <c r="L193" s="27" t="s">
        <v>115</v>
      </c>
      <c r="M193" s="27" t="s">
        <v>271</v>
      </c>
      <c r="N193" s="107">
        <v>9.9</v>
      </c>
      <c r="O193" s="107"/>
      <c r="P193" s="118" t="str">
        <f>LEFT(VLOOKUP(Ruimtestaat[[#This Row],[Ruimte code]],Ruimtegroepen[#All],4,1),2)</f>
        <v xml:space="preserve">S </v>
      </c>
      <c r="Q193" s="118"/>
      <c r="R193" s="108">
        <v>42</v>
      </c>
      <c r="S193" s="109" t="s">
        <v>19</v>
      </c>
      <c r="T193" s="110">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93" s="110">
        <f>IF(T193&gt;0,VLOOKUP($J193,Ruimtegroepen[],3,FALSE)*VLOOKUP($L193,Vloersoorten[],3,FALSE)*VLOOKUP($S193,Frequenties[],3,FALSE)*VLOOKUP($A193,Locaties[],3,FALSE),0)</f>
        <v>0</v>
      </c>
      <c r="V193" s="111">
        <f>Ruimtestaat[[#This Row],[Uitvoeringen werkdagen]]*Ruimtestaat[[#This Row],[Oppervlak (netto)]]</f>
        <v>4158</v>
      </c>
      <c r="W193" s="112">
        <f>IF(U193&gt;0,Ruimtestaat[[#This Row],[Prest. (m2 /jaar) werkdagen]]/Ruimtestaat[[#This Row],[Norm (m2/uur) werkdagen]],0)</f>
        <v>0</v>
      </c>
      <c r="X193" s="113">
        <f>Ruimtestaat[[#This Row],[uren / jaar werkdagen]]*Tariefsopbouw!$E$35</f>
        <v>0</v>
      </c>
      <c r="Y193" s="110"/>
      <c r="Z193" s="114">
        <f>IF(Ruimtestaat[[#This Row],[Frequentie weekend]]&gt;0,VALUE(LEFT(Y193,1))*R193,0)</f>
        <v>0</v>
      </c>
      <c r="AA193" s="110">
        <f>IF($Z193&gt;0,VLOOKUP($J193,Ruimtegroepen[],3,FALSE)*VLOOKUP($L193,Vloersoorten[],3,FALSE)*VLOOKUP($Y193,Frequenties[],3,FALSE)*VLOOKUP($A189,Locaties[],3,FALSE),0)</f>
        <v>0</v>
      </c>
      <c r="AB193" s="112">
        <f>Ruimtestaat[[#This Row],[Uitvoeringen weekend]]*Ruimtestaat[[#This Row],[Oppervlak (netto)]]</f>
        <v>0</v>
      </c>
      <c r="AC193" s="115">
        <f>IF(AB193&gt;0,Ruimtestaat[[#This Row],[Prest. (m2 /jaar) weekend]]/Ruimtestaat[[#This Row],[Norm (m2/uur) weekend]],0)</f>
        <v>0</v>
      </c>
      <c r="AD193" s="116">
        <f>Ruimtestaat[[#This Row],[uren / jaar weekend]]*Tariefsopbouw!$D$40</f>
        <v>0</v>
      </c>
      <c r="AE193" s="82">
        <f>Ruimtestaat[[#This Row],[Prest. (m2 /jaar) weekend]]+Ruimtestaat[[#This Row],[Prest. (m2 /jaar) werkdagen]]</f>
        <v>4158</v>
      </c>
      <c r="AF193" s="82">
        <f>Ruimtestaat[[#This Row],[uren / jaar weekend]]+Ruimtestaat[[#This Row],[uren / jaar werkdagen]]</f>
        <v>0</v>
      </c>
      <c r="AG193" s="83">
        <f>Ruimtestaat[[#This Row],[kosten / jaar weekend]]+Ruimtestaat[[#This Row],[kosten / jaar werkdagen]]</f>
        <v>0</v>
      </c>
      <c r="AH193" s="117"/>
      <c r="HL193" s="87"/>
    </row>
    <row r="194" spans="1:220" ht="15" customHeight="1">
      <c r="A194" s="136">
        <v>1</v>
      </c>
      <c r="B194" s="27" t="str">
        <f>VLOOKUP(Ruimtestaat[[#This Row],[Code]],Locaties[#All],2,FALSE)</f>
        <v>Amstelveen College</v>
      </c>
      <c r="C194" s="27" t="str">
        <f>VLOOKUP(Ruimtestaat[[#This Row],[Code]],Locaties[#All],4,FALSE)</f>
        <v>Sportlaan 27</v>
      </c>
      <c r="D194" s="27" t="str">
        <f>VLOOKUP(Ruimtestaat[[#This Row],[Code]],Locaties[#All],5,FALSE)</f>
        <v>1185 TB</v>
      </c>
      <c r="E194" s="27" t="str">
        <f>VLOOKUP(Ruimtestaat[[#This Row],[Code]],Locaties[#All],6,FALSE)</f>
        <v>Amstelveen</v>
      </c>
      <c r="F194" s="74"/>
      <c r="G194" s="27" t="s">
        <v>273</v>
      </c>
      <c r="H194" s="27" t="s">
        <v>297</v>
      </c>
      <c r="I194" s="24" t="s">
        <v>268</v>
      </c>
      <c r="J194" s="27">
        <v>5</v>
      </c>
      <c r="K194" s="74" t="str">
        <f>VLOOKUP(J194,Ruimtegroepen[],2,FALSE)</f>
        <v>Sanitair</v>
      </c>
      <c r="L194" s="27" t="s">
        <v>115</v>
      </c>
      <c r="M194" s="27" t="s">
        <v>271</v>
      </c>
      <c r="N194" s="107">
        <v>9.9</v>
      </c>
      <c r="O194" s="107"/>
      <c r="P194" s="118" t="str">
        <f>LEFT(VLOOKUP(Ruimtestaat[[#This Row],[Ruimte code]],Ruimtegroepen[#All],4,1),2)</f>
        <v xml:space="preserve">S </v>
      </c>
      <c r="Q194" s="118"/>
      <c r="R194" s="108">
        <v>42</v>
      </c>
      <c r="S194" s="109" t="s">
        <v>19</v>
      </c>
      <c r="T194" s="110">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94" s="110">
        <f>IF(T194&gt;0,VLOOKUP($J194,Ruimtegroepen[],3,FALSE)*VLOOKUP($L194,Vloersoorten[],3,FALSE)*VLOOKUP($S194,Frequenties[],3,FALSE)*VLOOKUP($A194,Locaties[],3,FALSE),0)</f>
        <v>0</v>
      </c>
      <c r="V194" s="111">
        <f>Ruimtestaat[[#This Row],[Uitvoeringen werkdagen]]*Ruimtestaat[[#This Row],[Oppervlak (netto)]]</f>
        <v>4158</v>
      </c>
      <c r="W194" s="112">
        <f>IF(U194&gt;0,Ruimtestaat[[#This Row],[Prest. (m2 /jaar) werkdagen]]/Ruimtestaat[[#This Row],[Norm (m2/uur) werkdagen]],0)</f>
        <v>0</v>
      </c>
      <c r="X194" s="113">
        <f>Ruimtestaat[[#This Row],[uren / jaar werkdagen]]*Tariefsopbouw!$E$35</f>
        <v>0</v>
      </c>
      <c r="Y194" s="110"/>
      <c r="Z194" s="114">
        <f>IF(Ruimtestaat[[#This Row],[Frequentie weekend]]&gt;0,VALUE(LEFT(Y194,1))*R194,0)</f>
        <v>0</v>
      </c>
      <c r="AA194" s="110">
        <f>IF($Z194&gt;0,VLOOKUP($J194,Ruimtegroepen[],3,FALSE)*VLOOKUP($L194,Vloersoorten[],3,FALSE)*VLOOKUP($Y194,Frequenties[],3,FALSE)*VLOOKUP($A190,Locaties[],3,FALSE),0)</f>
        <v>0</v>
      </c>
      <c r="AB194" s="112">
        <f>Ruimtestaat[[#This Row],[Uitvoeringen weekend]]*Ruimtestaat[[#This Row],[Oppervlak (netto)]]</f>
        <v>0</v>
      </c>
      <c r="AC194" s="115">
        <f>IF(AB194&gt;0,Ruimtestaat[[#This Row],[Prest. (m2 /jaar) weekend]]/Ruimtestaat[[#This Row],[Norm (m2/uur) weekend]],0)</f>
        <v>0</v>
      </c>
      <c r="AD194" s="116">
        <f>Ruimtestaat[[#This Row],[uren / jaar weekend]]*Tariefsopbouw!$D$40</f>
        <v>0</v>
      </c>
      <c r="AE194" s="82">
        <f>Ruimtestaat[[#This Row],[Prest. (m2 /jaar) weekend]]+Ruimtestaat[[#This Row],[Prest. (m2 /jaar) werkdagen]]</f>
        <v>4158</v>
      </c>
      <c r="AF194" s="82">
        <f>Ruimtestaat[[#This Row],[uren / jaar weekend]]+Ruimtestaat[[#This Row],[uren / jaar werkdagen]]</f>
        <v>0</v>
      </c>
      <c r="AG194" s="83">
        <f>Ruimtestaat[[#This Row],[kosten / jaar weekend]]+Ruimtestaat[[#This Row],[kosten / jaar werkdagen]]</f>
        <v>0</v>
      </c>
      <c r="AH194" s="117"/>
      <c r="HL194" s="87"/>
    </row>
    <row r="195" spans="1:220" ht="15" customHeight="1">
      <c r="A195" s="136">
        <v>1</v>
      </c>
      <c r="B195" s="27" t="str">
        <f>VLOOKUP(Ruimtestaat[[#This Row],[Code]],Locaties[#All],2,FALSE)</f>
        <v>Amstelveen College</v>
      </c>
      <c r="C195" s="27" t="str">
        <f>VLOOKUP(Ruimtestaat[[#This Row],[Code]],Locaties[#All],4,FALSE)</f>
        <v>Sportlaan 27</v>
      </c>
      <c r="D195" s="27" t="str">
        <f>VLOOKUP(Ruimtestaat[[#This Row],[Code]],Locaties[#All],5,FALSE)</f>
        <v>1185 TB</v>
      </c>
      <c r="E195" s="27" t="str">
        <f>VLOOKUP(Ruimtestaat[[#This Row],[Code]],Locaties[#All],6,FALSE)</f>
        <v>Amstelveen</v>
      </c>
      <c r="F195" s="74"/>
      <c r="G195" s="27" t="s">
        <v>273</v>
      </c>
      <c r="H195" s="27" t="s">
        <v>298</v>
      </c>
      <c r="I195" s="24" t="s">
        <v>370</v>
      </c>
      <c r="J195" s="27">
        <v>20</v>
      </c>
      <c r="K195" s="74" t="str">
        <f>VLOOKUP(J195,Ruimtegroepen[],2,FALSE)</f>
        <v>Niet in onderhoud</v>
      </c>
      <c r="L195" s="27" t="s">
        <v>114</v>
      </c>
      <c r="M195" s="27" t="s">
        <v>139</v>
      </c>
      <c r="N195" s="107"/>
      <c r="O195" s="107"/>
      <c r="P195" s="118" t="str">
        <f>LEFT(VLOOKUP(Ruimtestaat[[#This Row],[Ruimte code]],Ruimtegroepen[#All],4,1),2)</f>
        <v/>
      </c>
      <c r="Q195" s="118"/>
      <c r="R195" s="108">
        <v>0</v>
      </c>
      <c r="S195" s="109"/>
      <c r="T195" s="110">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5" s="110">
        <f>IF(T195&gt;0,VLOOKUP($J195,Ruimtegroepen[],3,FALSE)*VLOOKUP($L195,Vloersoorten[],3,FALSE)*VLOOKUP($S195,Frequenties[],3,FALSE)*VLOOKUP($A195,Locaties[],3,FALSE),0)</f>
        <v>0</v>
      </c>
      <c r="V195" s="111">
        <f>Ruimtestaat[[#This Row],[Uitvoeringen werkdagen]]*Ruimtestaat[[#This Row],[Oppervlak (netto)]]</f>
        <v>0</v>
      </c>
      <c r="W195" s="112">
        <f>IF(U195&gt;0,Ruimtestaat[[#This Row],[Prest. (m2 /jaar) werkdagen]]/Ruimtestaat[[#This Row],[Norm (m2/uur) werkdagen]],0)</f>
        <v>0</v>
      </c>
      <c r="X195" s="113">
        <f>Ruimtestaat[[#This Row],[uren / jaar werkdagen]]*Tariefsopbouw!$E$35</f>
        <v>0</v>
      </c>
      <c r="Y195" s="110"/>
      <c r="Z195" s="114">
        <f>IF(Ruimtestaat[[#This Row],[Frequentie weekend]]&gt;0,VALUE(LEFT(Y195,1))*R195,0)</f>
        <v>0</v>
      </c>
      <c r="AA195" s="110">
        <f>IF($Z195&gt;0,VLOOKUP($J195,Ruimtegroepen[],3,FALSE)*VLOOKUP($L195,Vloersoorten[],3,FALSE)*VLOOKUP($Y195,Frequenties[],3,FALSE)*VLOOKUP($A191,Locaties[],3,FALSE),0)</f>
        <v>0</v>
      </c>
      <c r="AB195" s="112">
        <f>Ruimtestaat[[#This Row],[Uitvoeringen weekend]]*Ruimtestaat[[#This Row],[Oppervlak (netto)]]</f>
        <v>0</v>
      </c>
      <c r="AC195" s="115">
        <f>IF(AB195&gt;0,Ruimtestaat[[#This Row],[Prest. (m2 /jaar) weekend]]/Ruimtestaat[[#This Row],[Norm (m2/uur) weekend]],0)</f>
        <v>0</v>
      </c>
      <c r="AD195" s="116">
        <f>Ruimtestaat[[#This Row],[uren / jaar weekend]]*Tariefsopbouw!$D$40</f>
        <v>0</v>
      </c>
      <c r="AE195" s="82">
        <f>Ruimtestaat[[#This Row],[Prest. (m2 /jaar) weekend]]+Ruimtestaat[[#This Row],[Prest. (m2 /jaar) werkdagen]]</f>
        <v>0</v>
      </c>
      <c r="AF195" s="82">
        <f>Ruimtestaat[[#This Row],[uren / jaar weekend]]+Ruimtestaat[[#This Row],[uren / jaar werkdagen]]</f>
        <v>0</v>
      </c>
      <c r="AG195" s="83">
        <f>Ruimtestaat[[#This Row],[kosten / jaar weekend]]+Ruimtestaat[[#This Row],[kosten / jaar werkdagen]]</f>
        <v>0</v>
      </c>
      <c r="AH195" s="117"/>
      <c r="HL195" s="87"/>
    </row>
    <row r="196" spans="1:220" ht="15" customHeight="1">
      <c r="A196" s="136">
        <v>1</v>
      </c>
      <c r="B196" s="27" t="str">
        <f>VLOOKUP(Ruimtestaat[[#This Row],[Code]],Locaties[#All],2,FALSE)</f>
        <v>Amstelveen College</v>
      </c>
      <c r="C196" s="27" t="str">
        <f>VLOOKUP(Ruimtestaat[[#This Row],[Code]],Locaties[#All],4,FALSE)</f>
        <v>Sportlaan 27</v>
      </c>
      <c r="D196" s="27" t="str">
        <f>VLOOKUP(Ruimtestaat[[#This Row],[Code]],Locaties[#All],5,FALSE)</f>
        <v>1185 TB</v>
      </c>
      <c r="E196" s="27" t="str">
        <f>VLOOKUP(Ruimtestaat[[#This Row],[Code]],Locaties[#All],6,FALSE)</f>
        <v>Amstelveen</v>
      </c>
      <c r="F196" s="74"/>
      <c r="G196" s="27" t="s">
        <v>273</v>
      </c>
      <c r="H196" s="27" t="s">
        <v>299</v>
      </c>
      <c r="I196" s="24" t="s">
        <v>369</v>
      </c>
      <c r="J196" s="27">
        <v>6</v>
      </c>
      <c r="K196" s="74" t="str">
        <f>VLOOKUP(J196,Ruimtegroepen[],2,FALSE)</f>
        <v>Gangen/hallen</v>
      </c>
      <c r="L196" s="27" t="s">
        <v>114</v>
      </c>
      <c r="M196" s="27" t="s">
        <v>139</v>
      </c>
      <c r="N196" s="107">
        <v>28.6</v>
      </c>
      <c r="O196" s="107"/>
      <c r="P196" s="118" t="str">
        <f>LEFT(VLOOKUP(Ruimtestaat[[#This Row],[Ruimte code]],Ruimtegroepen[#All],4,1),2)</f>
        <v xml:space="preserve">V </v>
      </c>
      <c r="Q196" s="118"/>
      <c r="R196" s="108">
        <v>42</v>
      </c>
      <c r="S196" s="109" t="s">
        <v>2</v>
      </c>
      <c r="T196" s="110">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196" s="110">
        <f>IF(T196&gt;0,VLOOKUP($J196,Ruimtegroepen[],3,FALSE)*VLOOKUP($L196,Vloersoorten[],3,FALSE)*VLOOKUP($S196,Frequenties[],3,FALSE)*VLOOKUP($A196,Locaties[],3,FALSE),0)</f>
        <v>0</v>
      </c>
      <c r="V196" s="111">
        <f>Ruimtestaat[[#This Row],[Uitvoeringen werkdagen]]*Ruimtestaat[[#This Row],[Oppervlak (netto)]]</f>
        <v>6006</v>
      </c>
      <c r="W196" s="112">
        <f>IF(U196&gt;0,Ruimtestaat[[#This Row],[Prest. (m2 /jaar) werkdagen]]/Ruimtestaat[[#This Row],[Norm (m2/uur) werkdagen]],0)</f>
        <v>0</v>
      </c>
      <c r="X196" s="113">
        <f>Ruimtestaat[[#This Row],[uren / jaar werkdagen]]*Tariefsopbouw!$E$35</f>
        <v>0</v>
      </c>
      <c r="Y196" s="110"/>
      <c r="Z196" s="114">
        <f>IF(Ruimtestaat[[#This Row],[Frequentie weekend]]&gt;0,VALUE(LEFT(Y196,1))*R196,0)</f>
        <v>0</v>
      </c>
      <c r="AA196" s="110">
        <f>IF($Z196&gt;0,VLOOKUP($J196,Ruimtegroepen[],3,FALSE)*VLOOKUP($L196,Vloersoorten[],3,FALSE)*VLOOKUP($Y196,Frequenties[],3,FALSE)*VLOOKUP($A192,Locaties[],3,FALSE),0)</f>
        <v>0</v>
      </c>
      <c r="AB196" s="112">
        <f>Ruimtestaat[[#This Row],[Uitvoeringen weekend]]*Ruimtestaat[[#This Row],[Oppervlak (netto)]]</f>
        <v>0</v>
      </c>
      <c r="AC196" s="115">
        <f>IF(AB196&gt;0,Ruimtestaat[[#This Row],[Prest. (m2 /jaar) weekend]]/Ruimtestaat[[#This Row],[Norm (m2/uur) weekend]],0)</f>
        <v>0</v>
      </c>
      <c r="AD196" s="116">
        <f>Ruimtestaat[[#This Row],[uren / jaar weekend]]*Tariefsopbouw!$D$40</f>
        <v>0</v>
      </c>
      <c r="AE196" s="82">
        <f>Ruimtestaat[[#This Row],[Prest. (m2 /jaar) weekend]]+Ruimtestaat[[#This Row],[Prest. (m2 /jaar) werkdagen]]</f>
        <v>6006</v>
      </c>
      <c r="AF196" s="82">
        <f>Ruimtestaat[[#This Row],[uren / jaar weekend]]+Ruimtestaat[[#This Row],[uren / jaar werkdagen]]</f>
        <v>0</v>
      </c>
      <c r="AG196" s="83">
        <f>Ruimtestaat[[#This Row],[kosten / jaar weekend]]+Ruimtestaat[[#This Row],[kosten / jaar werkdagen]]</f>
        <v>0</v>
      </c>
      <c r="AH196" s="117"/>
      <c r="HL196" s="87"/>
    </row>
    <row r="197" spans="1:220" ht="15" customHeight="1">
      <c r="A197" s="136">
        <v>1</v>
      </c>
      <c r="B197" s="27" t="str">
        <f>VLOOKUP(Ruimtestaat[[#This Row],[Code]],Locaties[#All],2,FALSE)</f>
        <v>Amstelveen College</v>
      </c>
      <c r="C197" s="27" t="str">
        <f>VLOOKUP(Ruimtestaat[[#This Row],[Code]],Locaties[#All],4,FALSE)</f>
        <v>Sportlaan 27</v>
      </c>
      <c r="D197" s="27" t="str">
        <f>VLOOKUP(Ruimtestaat[[#This Row],[Code]],Locaties[#All],5,FALSE)</f>
        <v>1185 TB</v>
      </c>
      <c r="E197" s="27" t="str">
        <f>VLOOKUP(Ruimtestaat[[#This Row],[Code]],Locaties[#All],6,FALSE)</f>
        <v>Amstelveen</v>
      </c>
      <c r="F197" s="74"/>
      <c r="G197" s="27" t="s">
        <v>273</v>
      </c>
      <c r="H197" s="27" t="s">
        <v>300</v>
      </c>
      <c r="I197" s="24" t="s">
        <v>323</v>
      </c>
      <c r="J197" s="27">
        <v>4</v>
      </c>
      <c r="K197" s="74" t="str">
        <f>VLOOKUP(J197,Ruimtegroepen[],2,FALSE)</f>
        <v>Vergader/spreekkamers</v>
      </c>
      <c r="L197" s="27" t="s">
        <v>113</v>
      </c>
      <c r="M197" s="27" t="s">
        <v>39</v>
      </c>
      <c r="N197" s="107">
        <v>8.5</v>
      </c>
      <c r="O197" s="107"/>
      <c r="P197" s="118" t="str">
        <f>LEFT(VLOOKUP(Ruimtestaat[[#This Row],[Ruimte code]],Ruimtegroepen[#All],4,1),2)</f>
        <v xml:space="preserve">B </v>
      </c>
      <c r="Q197" s="118"/>
      <c r="R197" s="108">
        <v>40</v>
      </c>
      <c r="S197" s="109" t="s">
        <v>15</v>
      </c>
      <c r="T197" s="110">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97" s="110">
        <f>IF(T197&gt;0,VLOOKUP($J197,Ruimtegroepen[],3,FALSE)*VLOOKUP($L197,Vloersoorten[],3,FALSE)*VLOOKUP($S197,Frequenties[],3,FALSE)*VLOOKUP($A197,Locaties[],3,FALSE),0)</f>
        <v>0</v>
      </c>
      <c r="V197" s="111">
        <f>Ruimtestaat[[#This Row],[Uitvoeringen werkdagen]]*Ruimtestaat[[#This Row],[Oppervlak (netto)]]</f>
        <v>340</v>
      </c>
      <c r="W197" s="112">
        <f>IF(U197&gt;0,Ruimtestaat[[#This Row],[Prest. (m2 /jaar) werkdagen]]/Ruimtestaat[[#This Row],[Norm (m2/uur) werkdagen]],0)</f>
        <v>0</v>
      </c>
      <c r="X197" s="113">
        <f>Ruimtestaat[[#This Row],[uren / jaar werkdagen]]*Tariefsopbouw!$E$35</f>
        <v>0</v>
      </c>
      <c r="Y197" s="110"/>
      <c r="Z197" s="114">
        <f>IF(Ruimtestaat[[#This Row],[Frequentie weekend]]&gt;0,VALUE(LEFT(Y197,1))*R197,0)</f>
        <v>0</v>
      </c>
      <c r="AA197" s="110">
        <f>IF($Z197&gt;0,VLOOKUP($J197,Ruimtegroepen[],3,FALSE)*VLOOKUP($L197,Vloersoorten[],3,FALSE)*VLOOKUP($Y197,Frequenties[],3,FALSE)*VLOOKUP($A193,Locaties[],3,FALSE),0)</f>
        <v>0</v>
      </c>
      <c r="AB197" s="112">
        <f>Ruimtestaat[[#This Row],[Uitvoeringen weekend]]*Ruimtestaat[[#This Row],[Oppervlak (netto)]]</f>
        <v>0</v>
      </c>
      <c r="AC197" s="115">
        <f>IF(AB197&gt;0,Ruimtestaat[[#This Row],[Prest. (m2 /jaar) weekend]]/Ruimtestaat[[#This Row],[Norm (m2/uur) weekend]],0)</f>
        <v>0</v>
      </c>
      <c r="AD197" s="116">
        <f>Ruimtestaat[[#This Row],[uren / jaar weekend]]*Tariefsopbouw!$D$40</f>
        <v>0</v>
      </c>
      <c r="AE197" s="82">
        <f>Ruimtestaat[[#This Row],[Prest. (m2 /jaar) weekend]]+Ruimtestaat[[#This Row],[Prest. (m2 /jaar) werkdagen]]</f>
        <v>340</v>
      </c>
      <c r="AF197" s="82">
        <f>Ruimtestaat[[#This Row],[uren / jaar weekend]]+Ruimtestaat[[#This Row],[uren / jaar werkdagen]]</f>
        <v>0</v>
      </c>
      <c r="AG197" s="83">
        <f>Ruimtestaat[[#This Row],[kosten / jaar weekend]]+Ruimtestaat[[#This Row],[kosten / jaar werkdagen]]</f>
        <v>0</v>
      </c>
      <c r="AH197" s="117"/>
      <c r="HL197" s="87"/>
    </row>
    <row r="198" spans="1:220" ht="15" customHeight="1">
      <c r="A198" s="136">
        <v>1</v>
      </c>
      <c r="B198" s="27" t="str">
        <f>VLOOKUP(Ruimtestaat[[#This Row],[Code]],Locaties[#All],2,FALSE)</f>
        <v>Amstelveen College</v>
      </c>
      <c r="C198" s="27" t="str">
        <f>VLOOKUP(Ruimtestaat[[#This Row],[Code]],Locaties[#All],4,FALSE)</f>
        <v>Sportlaan 27</v>
      </c>
      <c r="D198" s="27" t="str">
        <f>VLOOKUP(Ruimtestaat[[#This Row],[Code]],Locaties[#All],5,FALSE)</f>
        <v>1185 TB</v>
      </c>
      <c r="E198" s="27" t="str">
        <f>VLOOKUP(Ruimtestaat[[#This Row],[Code]],Locaties[#All],6,FALSE)</f>
        <v>Amstelveen</v>
      </c>
      <c r="F198" s="74"/>
      <c r="G198" s="27" t="s">
        <v>273</v>
      </c>
      <c r="H198" s="27" t="s">
        <v>301</v>
      </c>
      <c r="I198" s="24" t="s">
        <v>270</v>
      </c>
      <c r="J198" s="27">
        <v>5</v>
      </c>
      <c r="K198" s="74" t="str">
        <f>VLOOKUP(J198,Ruimtegroepen[],2,FALSE)</f>
        <v>Sanitair</v>
      </c>
      <c r="L198" s="27" t="s">
        <v>115</v>
      </c>
      <c r="M198" s="27" t="s">
        <v>271</v>
      </c>
      <c r="N198" s="107">
        <v>4.8</v>
      </c>
      <c r="O198" s="107"/>
      <c r="P198" s="118" t="str">
        <f>LEFT(VLOOKUP(Ruimtestaat[[#This Row],[Ruimte code]],Ruimtegroepen[#All],4,1),2)</f>
        <v xml:space="preserve">S </v>
      </c>
      <c r="Q198" s="118"/>
      <c r="R198" s="108">
        <v>42</v>
      </c>
      <c r="S198" s="109" t="s">
        <v>19</v>
      </c>
      <c r="T198" s="110">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198" s="110">
        <f>IF(T198&gt;0,VLOOKUP($J198,Ruimtegroepen[],3,FALSE)*VLOOKUP($L198,Vloersoorten[],3,FALSE)*VLOOKUP($S198,Frequenties[],3,FALSE)*VLOOKUP($A198,Locaties[],3,FALSE),0)</f>
        <v>0</v>
      </c>
      <c r="V198" s="111">
        <f>Ruimtestaat[[#This Row],[Uitvoeringen werkdagen]]*Ruimtestaat[[#This Row],[Oppervlak (netto)]]</f>
        <v>2016</v>
      </c>
      <c r="W198" s="112">
        <f>IF(U198&gt;0,Ruimtestaat[[#This Row],[Prest. (m2 /jaar) werkdagen]]/Ruimtestaat[[#This Row],[Norm (m2/uur) werkdagen]],0)</f>
        <v>0</v>
      </c>
      <c r="X198" s="113">
        <f>Ruimtestaat[[#This Row],[uren / jaar werkdagen]]*Tariefsopbouw!$E$35</f>
        <v>0</v>
      </c>
      <c r="Y198" s="110"/>
      <c r="Z198" s="114">
        <f>IF(Ruimtestaat[[#This Row],[Frequentie weekend]]&gt;0,VALUE(LEFT(Y198,1))*R198,0)</f>
        <v>0</v>
      </c>
      <c r="AA198" s="110">
        <f>IF($Z198&gt;0,VLOOKUP($J198,Ruimtegroepen[],3,FALSE)*VLOOKUP($L198,Vloersoorten[],3,FALSE)*VLOOKUP($Y198,Frequenties[],3,FALSE)*VLOOKUP($A194,Locaties[],3,FALSE),0)</f>
        <v>0</v>
      </c>
      <c r="AB198" s="112">
        <f>Ruimtestaat[[#This Row],[Uitvoeringen weekend]]*Ruimtestaat[[#This Row],[Oppervlak (netto)]]</f>
        <v>0</v>
      </c>
      <c r="AC198" s="115">
        <f>IF(AB198&gt;0,Ruimtestaat[[#This Row],[Prest. (m2 /jaar) weekend]]/Ruimtestaat[[#This Row],[Norm (m2/uur) weekend]],0)</f>
        <v>0</v>
      </c>
      <c r="AD198" s="116">
        <f>Ruimtestaat[[#This Row],[uren / jaar weekend]]*Tariefsopbouw!$D$40</f>
        <v>0</v>
      </c>
      <c r="AE198" s="82">
        <f>Ruimtestaat[[#This Row],[Prest. (m2 /jaar) weekend]]+Ruimtestaat[[#This Row],[Prest. (m2 /jaar) werkdagen]]</f>
        <v>2016</v>
      </c>
      <c r="AF198" s="82">
        <f>Ruimtestaat[[#This Row],[uren / jaar weekend]]+Ruimtestaat[[#This Row],[uren / jaar werkdagen]]</f>
        <v>0</v>
      </c>
      <c r="AG198" s="83">
        <f>Ruimtestaat[[#This Row],[kosten / jaar weekend]]+Ruimtestaat[[#This Row],[kosten / jaar werkdagen]]</f>
        <v>0</v>
      </c>
      <c r="AH198" s="117"/>
      <c r="HL198" s="87"/>
    </row>
    <row r="199" spans="1:220" ht="15" customHeight="1">
      <c r="A199" s="136">
        <v>1</v>
      </c>
      <c r="B199" s="27" t="str">
        <f>VLOOKUP(Ruimtestaat[[#This Row],[Code]],Locaties[#All],2,FALSE)</f>
        <v>Amstelveen College</v>
      </c>
      <c r="C199" s="27" t="str">
        <f>VLOOKUP(Ruimtestaat[[#This Row],[Code]],Locaties[#All],4,FALSE)</f>
        <v>Sportlaan 27</v>
      </c>
      <c r="D199" s="27" t="str">
        <f>VLOOKUP(Ruimtestaat[[#This Row],[Code]],Locaties[#All],5,FALSE)</f>
        <v>1185 TB</v>
      </c>
      <c r="E199" s="27" t="str">
        <f>VLOOKUP(Ruimtestaat[[#This Row],[Code]],Locaties[#All],6,FALSE)</f>
        <v>Amstelveen</v>
      </c>
      <c r="F199" s="74"/>
      <c r="G199" s="27" t="s">
        <v>273</v>
      </c>
      <c r="H199" s="27" t="s">
        <v>302</v>
      </c>
      <c r="I199" s="24" t="s">
        <v>370</v>
      </c>
      <c r="J199" s="27">
        <v>20</v>
      </c>
      <c r="K199" s="74" t="str">
        <f>VLOOKUP(J199,Ruimtegroepen[],2,FALSE)</f>
        <v>Niet in onderhoud</v>
      </c>
      <c r="L199" s="27" t="s">
        <v>114</v>
      </c>
      <c r="M199" s="27" t="s">
        <v>139</v>
      </c>
      <c r="O199" s="107">
        <v>10</v>
      </c>
      <c r="P199" s="118" t="str">
        <f>LEFT(VLOOKUP(Ruimtestaat[[#This Row],[Ruimte code]],Ruimtegroepen[#All],4,1),2)</f>
        <v/>
      </c>
      <c r="Q199" s="118"/>
      <c r="R199" s="108">
        <v>0</v>
      </c>
      <c r="S199" s="109"/>
      <c r="T199" s="110">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9" s="110">
        <f>IF(T199&gt;0,VLOOKUP($J199,Ruimtegroepen[],3,FALSE)*VLOOKUP($L199,Vloersoorten[],3,FALSE)*VLOOKUP($S199,Frequenties[],3,FALSE)*VLOOKUP($A199,Locaties[],3,FALSE),0)</f>
        <v>0</v>
      </c>
      <c r="V199" s="111">
        <f>Ruimtestaat[[#This Row],[Uitvoeringen werkdagen]]*Ruimtestaat[[#This Row],[Oppervlak (netto)]]</f>
        <v>0</v>
      </c>
      <c r="W199" s="112">
        <f>IF(U199&gt;0,Ruimtestaat[[#This Row],[Prest. (m2 /jaar) werkdagen]]/Ruimtestaat[[#This Row],[Norm (m2/uur) werkdagen]],0)</f>
        <v>0</v>
      </c>
      <c r="X199" s="113">
        <f>Ruimtestaat[[#This Row],[uren / jaar werkdagen]]*Tariefsopbouw!$E$35</f>
        <v>0</v>
      </c>
      <c r="Y199" s="110"/>
      <c r="Z199" s="114">
        <f>IF(Ruimtestaat[[#This Row],[Frequentie weekend]]&gt;0,VALUE(LEFT(Y199,1))*R199,0)</f>
        <v>0</v>
      </c>
      <c r="AA199" s="110">
        <f>IF($Z199&gt;0,VLOOKUP($J199,Ruimtegroepen[],3,FALSE)*VLOOKUP($L199,Vloersoorten[],3,FALSE)*VLOOKUP($Y199,Frequenties[],3,FALSE)*VLOOKUP($A195,Locaties[],3,FALSE),0)</f>
        <v>0</v>
      </c>
      <c r="AB199" s="112">
        <f>Ruimtestaat[[#This Row],[Uitvoeringen weekend]]*Ruimtestaat[[#This Row],[Oppervlak (netto)]]</f>
        <v>0</v>
      </c>
      <c r="AC199" s="115">
        <f>IF(AB199&gt;0,Ruimtestaat[[#This Row],[Prest. (m2 /jaar) weekend]]/Ruimtestaat[[#This Row],[Norm (m2/uur) weekend]],0)</f>
        <v>0</v>
      </c>
      <c r="AD199" s="116">
        <f>Ruimtestaat[[#This Row],[uren / jaar weekend]]*Tariefsopbouw!$D$40</f>
        <v>0</v>
      </c>
      <c r="AE199" s="82">
        <f>Ruimtestaat[[#This Row],[Prest. (m2 /jaar) weekend]]+Ruimtestaat[[#This Row],[Prest. (m2 /jaar) werkdagen]]</f>
        <v>0</v>
      </c>
      <c r="AF199" s="82">
        <f>Ruimtestaat[[#This Row],[uren / jaar weekend]]+Ruimtestaat[[#This Row],[uren / jaar werkdagen]]</f>
        <v>0</v>
      </c>
      <c r="AG199" s="83">
        <f>Ruimtestaat[[#This Row],[kosten / jaar weekend]]+Ruimtestaat[[#This Row],[kosten / jaar werkdagen]]</f>
        <v>0</v>
      </c>
      <c r="AH199" s="117"/>
      <c r="HL199" s="87"/>
    </row>
    <row r="200" spans="1:220" ht="15" customHeight="1">
      <c r="A200" s="136">
        <v>1</v>
      </c>
      <c r="B200" s="27" t="str">
        <f>VLOOKUP(Ruimtestaat[[#This Row],[Code]],Locaties[#All],2,FALSE)</f>
        <v>Amstelveen College</v>
      </c>
      <c r="C200" s="27" t="str">
        <f>VLOOKUP(Ruimtestaat[[#This Row],[Code]],Locaties[#All],4,FALSE)</f>
        <v>Sportlaan 27</v>
      </c>
      <c r="D200" s="27" t="str">
        <f>VLOOKUP(Ruimtestaat[[#This Row],[Code]],Locaties[#All],5,FALSE)</f>
        <v>1185 TB</v>
      </c>
      <c r="E200" s="27" t="str">
        <f>VLOOKUP(Ruimtestaat[[#This Row],[Code]],Locaties[#All],6,FALSE)</f>
        <v>Amstelveen</v>
      </c>
      <c r="F200" s="74"/>
      <c r="G200" s="27" t="s">
        <v>273</v>
      </c>
      <c r="H200" s="27" t="s">
        <v>303</v>
      </c>
      <c r="I200" s="24" t="s">
        <v>371</v>
      </c>
      <c r="J200" s="27">
        <v>16</v>
      </c>
      <c r="K200" s="74" t="str">
        <f>VLOOKUP(J200,Ruimtegroepen[],2,FALSE)</f>
        <v>Leslokalen theorie</v>
      </c>
      <c r="L200" s="27" t="s">
        <v>114</v>
      </c>
      <c r="M200" s="27" t="s">
        <v>139</v>
      </c>
      <c r="N200" s="107">
        <v>55.3</v>
      </c>
      <c r="O200" s="107"/>
      <c r="P200" s="118" t="str">
        <f>LEFT(VLOOKUP(Ruimtestaat[[#This Row],[Ruimte code]],Ruimtegroepen[#All],4,1),2)</f>
        <v xml:space="preserve">L </v>
      </c>
      <c r="Q200" s="118"/>
      <c r="R200" s="108">
        <v>40</v>
      </c>
      <c r="S200" s="109" t="s">
        <v>18</v>
      </c>
      <c r="T200" s="110">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0" s="110">
        <f>IF(T200&gt;0,VLOOKUP($J200,Ruimtegroepen[],3,FALSE)*VLOOKUP($L200,Vloersoorten[],3,FALSE)*VLOOKUP($S200,Frequenties[],3,FALSE)*VLOOKUP($A200,Locaties[],3,FALSE),0)</f>
        <v>0</v>
      </c>
      <c r="V200" s="111">
        <f>Ruimtestaat[[#This Row],[Uitvoeringen werkdagen]]*Ruimtestaat[[#This Row],[Oppervlak (netto)]]</f>
        <v>6636</v>
      </c>
      <c r="W200" s="112">
        <f>IF(U200&gt;0,Ruimtestaat[[#This Row],[Prest. (m2 /jaar) werkdagen]]/Ruimtestaat[[#This Row],[Norm (m2/uur) werkdagen]],0)</f>
        <v>0</v>
      </c>
      <c r="X200" s="113">
        <f>Ruimtestaat[[#This Row],[uren / jaar werkdagen]]*Tariefsopbouw!$E$35</f>
        <v>0</v>
      </c>
      <c r="Y200" s="110"/>
      <c r="Z200" s="114">
        <f>IF(Ruimtestaat[[#This Row],[Frequentie weekend]]&gt;0,VALUE(LEFT(Y200,1))*R200,0)</f>
        <v>0</v>
      </c>
      <c r="AA200" s="110">
        <f>IF($Z200&gt;0,VLOOKUP($J200,Ruimtegroepen[],3,FALSE)*VLOOKUP($L200,Vloersoorten[],3,FALSE)*VLOOKUP($Y200,Frequenties[],3,FALSE)*VLOOKUP($A196,Locaties[],3,FALSE),0)</f>
        <v>0</v>
      </c>
      <c r="AB200" s="112">
        <f>Ruimtestaat[[#This Row],[Uitvoeringen weekend]]*Ruimtestaat[[#This Row],[Oppervlak (netto)]]</f>
        <v>0</v>
      </c>
      <c r="AC200" s="115">
        <f>IF(AB200&gt;0,Ruimtestaat[[#This Row],[Prest. (m2 /jaar) weekend]]/Ruimtestaat[[#This Row],[Norm (m2/uur) weekend]],0)</f>
        <v>0</v>
      </c>
      <c r="AD200" s="116">
        <f>Ruimtestaat[[#This Row],[uren / jaar weekend]]*Tariefsopbouw!$D$40</f>
        <v>0</v>
      </c>
      <c r="AE200" s="82">
        <f>Ruimtestaat[[#This Row],[Prest. (m2 /jaar) weekend]]+Ruimtestaat[[#This Row],[Prest. (m2 /jaar) werkdagen]]</f>
        <v>6636</v>
      </c>
      <c r="AF200" s="82">
        <f>Ruimtestaat[[#This Row],[uren / jaar weekend]]+Ruimtestaat[[#This Row],[uren / jaar werkdagen]]</f>
        <v>0</v>
      </c>
      <c r="AG200" s="83">
        <f>Ruimtestaat[[#This Row],[kosten / jaar weekend]]+Ruimtestaat[[#This Row],[kosten / jaar werkdagen]]</f>
        <v>0</v>
      </c>
      <c r="AH200" s="117"/>
      <c r="HL200" s="87"/>
    </row>
    <row r="201" spans="1:220" ht="15" customHeight="1">
      <c r="A201" s="136">
        <v>1</v>
      </c>
      <c r="B201" s="27" t="str">
        <f>VLOOKUP(Ruimtestaat[[#This Row],[Code]],Locaties[#All],2,FALSE)</f>
        <v>Amstelveen College</v>
      </c>
      <c r="C201" s="27" t="str">
        <f>VLOOKUP(Ruimtestaat[[#This Row],[Code]],Locaties[#All],4,FALSE)</f>
        <v>Sportlaan 27</v>
      </c>
      <c r="D201" s="27" t="str">
        <f>VLOOKUP(Ruimtestaat[[#This Row],[Code]],Locaties[#All],5,FALSE)</f>
        <v>1185 TB</v>
      </c>
      <c r="E201" s="27" t="str">
        <f>VLOOKUP(Ruimtestaat[[#This Row],[Code]],Locaties[#All],6,FALSE)</f>
        <v>Amstelveen</v>
      </c>
      <c r="F201" s="74"/>
      <c r="G201" s="27" t="s">
        <v>273</v>
      </c>
      <c r="H201" s="27" t="s">
        <v>304</v>
      </c>
      <c r="I201" s="24" t="s">
        <v>371</v>
      </c>
      <c r="J201" s="27">
        <v>16</v>
      </c>
      <c r="K201" s="74" t="str">
        <f>VLOOKUP(J201,Ruimtegroepen[],2,FALSE)</f>
        <v>Leslokalen theorie</v>
      </c>
      <c r="L201" s="27" t="s">
        <v>114</v>
      </c>
      <c r="M201" s="27" t="s">
        <v>139</v>
      </c>
      <c r="N201" s="107">
        <v>56.5</v>
      </c>
      <c r="O201" s="107"/>
      <c r="P201" s="118" t="str">
        <f>LEFT(VLOOKUP(Ruimtestaat[[#This Row],[Ruimte code]],Ruimtegroepen[#All],4,1),2)</f>
        <v xml:space="preserve">L </v>
      </c>
      <c r="Q201" s="118"/>
      <c r="R201" s="108">
        <v>40</v>
      </c>
      <c r="S201" s="109" t="s">
        <v>18</v>
      </c>
      <c r="T201" s="110">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1" s="110">
        <f>IF(T201&gt;0,VLOOKUP($J201,Ruimtegroepen[],3,FALSE)*VLOOKUP($L201,Vloersoorten[],3,FALSE)*VLOOKUP($S201,Frequenties[],3,FALSE)*VLOOKUP($A201,Locaties[],3,FALSE),0)</f>
        <v>0</v>
      </c>
      <c r="V201" s="111">
        <f>Ruimtestaat[[#This Row],[Uitvoeringen werkdagen]]*Ruimtestaat[[#This Row],[Oppervlak (netto)]]</f>
        <v>6780</v>
      </c>
      <c r="W201" s="112">
        <f>IF(U201&gt;0,Ruimtestaat[[#This Row],[Prest. (m2 /jaar) werkdagen]]/Ruimtestaat[[#This Row],[Norm (m2/uur) werkdagen]],0)</f>
        <v>0</v>
      </c>
      <c r="X201" s="113">
        <f>Ruimtestaat[[#This Row],[uren / jaar werkdagen]]*Tariefsopbouw!$E$35</f>
        <v>0</v>
      </c>
      <c r="Y201" s="110"/>
      <c r="Z201" s="114">
        <f>IF(Ruimtestaat[[#This Row],[Frequentie weekend]]&gt;0,VALUE(LEFT(Y201,1))*R201,0)</f>
        <v>0</v>
      </c>
      <c r="AA201" s="110">
        <f>IF($Z201&gt;0,VLOOKUP($J201,Ruimtegroepen[],3,FALSE)*VLOOKUP($L201,Vloersoorten[],3,FALSE)*VLOOKUP($Y201,Frequenties[],3,FALSE)*VLOOKUP($A197,Locaties[],3,FALSE),0)</f>
        <v>0</v>
      </c>
      <c r="AB201" s="112">
        <f>Ruimtestaat[[#This Row],[Uitvoeringen weekend]]*Ruimtestaat[[#This Row],[Oppervlak (netto)]]</f>
        <v>0</v>
      </c>
      <c r="AC201" s="115">
        <f>IF(AB201&gt;0,Ruimtestaat[[#This Row],[Prest. (m2 /jaar) weekend]]/Ruimtestaat[[#This Row],[Norm (m2/uur) weekend]],0)</f>
        <v>0</v>
      </c>
      <c r="AD201" s="116">
        <f>Ruimtestaat[[#This Row],[uren / jaar weekend]]*Tariefsopbouw!$D$40</f>
        <v>0</v>
      </c>
      <c r="AE201" s="82">
        <f>Ruimtestaat[[#This Row],[Prest. (m2 /jaar) weekend]]+Ruimtestaat[[#This Row],[Prest. (m2 /jaar) werkdagen]]</f>
        <v>6780</v>
      </c>
      <c r="AF201" s="82">
        <f>Ruimtestaat[[#This Row],[uren / jaar weekend]]+Ruimtestaat[[#This Row],[uren / jaar werkdagen]]</f>
        <v>0</v>
      </c>
      <c r="AG201" s="83">
        <f>Ruimtestaat[[#This Row],[kosten / jaar weekend]]+Ruimtestaat[[#This Row],[kosten / jaar werkdagen]]</f>
        <v>0</v>
      </c>
      <c r="AH201" s="117"/>
      <c r="HL201" s="87"/>
    </row>
    <row r="202" spans="1:220" ht="15" customHeight="1">
      <c r="A202" s="136">
        <v>1</v>
      </c>
      <c r="B202" s="27" t="str">
        <f>VLOOKUP(Ruimtestaat[[#This Row],[Code]],Locaties[#All],2,FALSE)</f>
        <v>Amstelveen College</v>
      </c>
      <c r="C202" s="27" t="str">
        <f>VLOOKUP(Ruimtestaat[[#This Row],[Code]],Locaties[#All],4,FALSE)</f>
        <v>Sportlaan 27</v>
      </c>
      <c r="D202" s="27" t="str">
        <f>VLOOKUP(Ruimtestaat[[#This Row],[Code]],Locaties[#All],5,FALSE)</f>
        <v>1185 TB</v>
      </c>
      <c r="E202" s="27" t="str">
        <f>VLOOKUP(Ruimtestaat[[#This Row],[Code]],Locaties[#All],6,FALSE)</f>
        <v>Amstelveen</v>
      </c>
      <c r="F202" s="74"/>
      <c r="G202" s="27" t="s">
        <v>273</v>
      </c>
      <c r="H202" s="27" t="s">
        <v>305</v>
      </c>
      <c r="I202" s="24" t="s">
        <v>371</v>
      </c>
      <c r="J202" s="27">
        <v>16</v>
      </c>
      <c r="K202" s="74" t="str">
        <f>VLOOKUP(J202,Ruimtegroepen[],2,FALSE)</f>
        <v>Leslokalen theorie</v>
      </c>
      <c r="L202" s="27" t="s">
        <v>114</v>
      </c>
      <c r="M202" s="27" t="s">
        <v>139</v>
      </c>
      <c r="N202" s="107">
        <v>56.5</v>
      </c>
      <c r="O202" s="107"/>
      <c r="P202" s="118" t="str">
        <f>LEFT(VLOOKUP(Ruimtestaat[[#This Row],[Ruimte code]],Ruimtegroepen[#All],4,1),2)</f>
        <v xml:space="preserve">L </v>
      </c>
      <c r="Q202" s="118"/>
      <c r="R202" s="108">
        <v>40</v>
      </c>
      <c r="S202" s="109" t="s">
        <v>18</v>
      </c>
      <c r="T202" s="110">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2" s="110">
        <f>IF(T202&gt;0,VLOOKUP($J202,Ruimtegroepen[],3,FALSE)*VLOOKUP($L202,Vloersoorten[],3,FALSE)*VLOOKUP($S202,Frequenties[],3,FALSE)*VLOOKUP($A202,Locaties[],3,FALSE),0)</f>
        <v>0</v>
      </c>
      <c r="V202" s="111">
        <f>Ruimtestaat[[#This Row],[Uitvoeringen werkdagen]]*Ruimtestaat[[#This Row],[Oppervlak (netto)]]</f>
        <v>6780</v>
      </c>
      <c r="W202" s="112">
        <f>IF(U202&gt;0,Ruimtestaat[[#This Row],[Prest. (m2 /jaar) werkdagen]]/Ruimtestaat[[#This Row],[Norm (m2/uur) werkdagen]],0)</f>
        <v>0</v>
      </c>
      <c r="X202" s="113">
        <f>Ruimtestaat[[#This Row],[uren / jaar werkdagen]]*Tariefsopbouw!$E$35</f>
        <v>0</v>
      </c>
      <c r="Y202" s="110"/>
      <c r="Z202" s="114">
        <f>IF(Ruimtestaat[[#This Row],[Frequentie weekend]]&gt;0,VALUE(LEFT(Y202,1))*R202,0)</f>
        <v>0</v>
      </c>
      <c r="AA202" s="110">
        <f>IF($Z202&gt;0,VLOOKUP($J202,Ruimtegroepen[],3,FALSE)*VLOOKUP($L202,Vloersoorten[],3,FALSE)*VLOOKUP($Y202,Frequenties[],3,FALSE)*VLOOKUP($A198,Locaties[],3,FALSE),0)</f>
        <v>0</v>
      </c>
      <c r="AB202" s="112">
        <f>Ruimtestaat[[#This Row],[Uitvoeringen weekend]]*Ruimtestaat[[#This Row],[Oppervlak (netto)]]</f>
        <v>0</v>
      </c>
      <c r="AC202" s="115">
        <f>IF(AB202&gt;0,Ruimtestaat[[#This Row],[Prest. (m2 /jaar) weekend]]/Ruimtestaat[[#This Row],[Norm (m2/uur) weekend]],0)</f>
        <v>0</v>
      </c>
      <c r="AD202" s="116">
        <f>Ruimtestaat[[#This Row],[uren / jaar weekend]]*Tariefsopbouw!$D$40</f>
        <v>0</v>
      </c>
      <c r="AE202" s="82">
        <f>Ruimtestaat[[#This Row],[Prest. (m2 /jaar) weekend]]+Ruimtestaat[[#This Row],[Prest. (m2 /jaar) werkdagen]]</f>
        <v>6780</v>
      </c>
      <c r="AF202" s="82">
        <f>Ruimtestaat[[#This Row],[uren / jaar weekend]]+Ruimtestaat[[#This Row],[uren / jaar werkdagen]]</f>
        <v>0</v>
      </c>
      <c r="AG202" s="83">
        <f>Ruimtestaat[[#This Row],[kosten / jaar weekend]]+Ruimtestaat[[#This Row],[kosten / jaar werkdagen]]</f>
        <v>0</v>
      </c>
      <c r="AH202" s="117"/>
      <c r="HL202" s="87"/>
    </row>
    <row r="203" spans="1:220" ht="15" customHeight="1">
      <c r="A203" s="136">
        <v>1</v>
      </c>
      <c r="B203" s="27" t="str">
        <f>VLOOKUP(Ruimtestaat[[#This Row],[Code]],Locaties[#All],2,FALSE)</f>
        <v>Amstelveen College</v>
      </c>
      <c r="C203" s="27" t="str">
        <f>VLOOKUP(Ruimtestaat[[#This Row],[Code]],Locaties[#All],4,FALSE)</f>
        <v>Sportlaan 27</v>
      </c>
      <c r="D203" s="27" t="str">
        <f>VLOOKUP(Ruimtestaat[[#This Row],[Code]],Locaties[#All],5,FALSE)</f>
        <v>1185 TB</v>
      </c>
      <c r="E203" s="27" t="str">
        <f>VLOOKUP(Ruimtestaat[[#This Row],[Code]],Locaties[#All],6,FALSE)</f>
        <v>Amstelveen</v>
      </c>
      <c r="F203" s="74"/>
      <c r="G203" s="27" t="s">
        <v>273</v>
      </c>
      <c r="H203" s="27" t="s">
        <v>306</v>
      </c>
      <c r="I203" s="24" t="s">
        <v>371</v>
      </c>
      <c r="J203" s="27">
        <v>16</v>
      </c>
      <c r="K203" s="74" t="str">
        <f>VLOOKUP(J203,Ruimtegroepen[],2,FALSE)</f>
        <v>Leslokalen theorie</v>
      </c>
      <c r="L203" s="27" t="s">
        <v>114</v>
      </c>
      <c r="M203" s="27" t="s">
        <v>139</v>
      </c>
      <c r="N203" s="107">
        <v>64.599999999999994</v>
      </c>
      <c r="O203" s="107"/>
      <c r="P203" s="118" t="str">
        <f>LEFT(VLOOKUP(Ruimtestaat[[#This Row],[Ruimte code]],Ruimtegroepen[#All],4,1),2)</f>
        <v xml:space="preserve">L </v>
      </c>
      <c r="Q203" s="118"/>
      <c r="R203" s="108">
        <v>40</v>
      </c>
      <c r="S203" s="109" t="s">
        <v>18</v>
      </c>
      <c r="T203" s="110">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3" s="110">
        <f>IF(T203&gt;0,VLOOKUP($J203,Ruimtegroepen[],3,FALSE)*VLOOKUP($L203,Vloersoorten[],3,FALSE)*VLOOKUP($S203,Frequenties[],3,FALSE)*VLOOKUP($A203,Locaties[],3,FALSE),0)</f>
        <v>0</v>
      </c>
      <c r="V203" s="111">
        <f>Ruimtestaat[[#This Row],[Uitvoeringen werkdagen]]*Ruimtestaat[[#This Row],[Oppervlak (netto)]]</f>
        <v>7751.9999999999991</v>
      </c>
      <c r="W203" s="112">
        <f>IF(U203&gt;0,Ruimtestaat[[#This Row],[Prest. (m2 /jaar) werkdagen]]/Ruimtestaat[[#This Row],[Norm (m2/uur) werkdagen]],0)</f>
        <v>0</v>
      </c>
      <c r="X203" s="113">
        <f>Ruimtestaat[[#This Row],[uren / jaar werkdagen]]*Tariefsopbouw!$E$35</f>
        <v>0</v>
      </c>
      <c r="Y203" s="110"/>
      <c r="Z203" s="114">
        <f>IF(Ruimtestaat[[#This Row],[Frequentie weekend]]&gt;0,VALUE(LEFT(Y203,1))*R203,0)</f>
        <v>0</v>
      </c>
      <c r="AA203" s="110">
        <f>IF($Z203&gt;0,VLOOKUP($J203,Ruimtegroepen[],3,FALSE)*VLOOKUP($L203,Vloersoorten[],3,FALSE)*VLOOKUP($Y203,Frequenties[],3,FALSE)*VLOOKUP($A199,Locaties[],3,FALSE),0)</f>
        <v>0</v>
      </c>
      <c r="AB203" s="112">
        <f>Ruimtestaat[[#This Row],[Uitvoeringen weekend]]*Ruimtestaat[[#This Row],[Oppervlak (netto)]]</f>
        <v>0</v>
      </c>
      <c r="AC203" s="115">
        <f>IF(AB203&gt;0,Ruimtestaat[[#This Row],[Prest. (m2 /jaar) weekend]]/Ruimtestaat[[#This Row],[Norm (m2/uur) weekend]],0)</f>
        <v>0</v>
      </c>
      <c r="AD203" s="116">
        <f>Ruimtestaat[[#This Row],[uren / jaar weekend]]*Tariefsopbouw!$D$40</f>
        <v>0</v>
      </c>
      <c r="AE203" s="82">
        <f>Ruimtestaat[[#This Row],[Prest. (m2 /jaar) weekend]]+Ruimtestaat[[#This Row],[Prest. (m2 /jaar) werkdagen]]</f>
        <v>7751.9999999999991</v>
      </c>
      <c r="AF203" s="82">
        <f>Ruimtestaat[[#This Row],[uren / jaar weekend]]+Ruimtestaat[[#This Row],[uren / jaar werkdagen]]</f>
        <v>0</v>
      </c>
      <c r="AG203" s="83">
        <f>Ruimtestaat[[#This Row],[kosten / jaar weekend]]+Ruimtestaat[[#This Row],[kosten / jaar werkdagen]]</f>
        <v>0</v>
      </c>
      <c r="AH203" s="117"/>
      <c r="HL203" s="87"/>
    </row>
    <row r="204" spans="1:220" ht="15" customHeight="1">
      <c r="A204" s="136">
        <v>1</v>
      </c>
      <c r="B204" s="27" t="str">
        <f>VLOOKUP(Ruimtestaat[[#This Row],[Code]],Locaties[#All],2,FALSE)</f>
        <v>Amstelveen College</v>
      </c>
      <c r="C204" s="27" t="str">
        <f>VLOOKUP(Ruimtestaat[[#This Row],[Code]],Locaties[#All],4,FALSE)</f>
        <v>Sportlaan 27</v>
      </c>
      <c r="D204" s="27" t="str">
        <f>VLOOKUP(Ruimtestaat[[#This Row],[Code]],Locaties[#All],5,FALSE)</f>
        <v>1185 TB</v>
      </c>
      <c r="E204" s="27" t="str">
        <f>VLOOKUP(Ruimtestaat[[#This Row],[Code]],Locaties[#All],6,FALSE)</f>
        <v>Amstelveen</v>
      </c>
      <c r="F204" s="74"/>
      <c r="G204" s="27" t="s">
        <v>273</v>
      </c>
      <c r="H204" s="27" t="s">
        <v>307</v>
      </c>
      <c r="I204" s="24" t="s">
        <v>376</v>
      </c>
      <c r="J204" s="27">
        <v>2</v>
      </c>
      <c r="K204" s="74" t="str">
        <f>VLOOKUP(J204,Ruimtegroepen[],2,FALSE)</f>
        <v>Kantoren</v>
      </c>
      <c r="L204" s="27" t="s">
        <v>113</v>
      </c>
      <c r="M204" s="27" t="s">
        <v>39</v>
      </c>
      <c r="N204" s="107">
        <v>37.700000000000003</v>
      </c>
      <c r="O204" s="107"/>
      <c r="P204" s="118" t="str">
        <f>LEFT(VLOOKUP(Ruimtestaat[[#This Row],[Ruimte code]],Ruimtegroepen[#All],4,1),2)</f>
        <v xml:space="preserve">B </v>
      </c>
      <c r="Q204" s="118"/>
      <c r="R204" s="108">
        <v>42</v>
      </c>
      <c r="S204" s="109" t="s">
        <v>15</v>
      </c>
      <c r="T204" s="110">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04" s="110">
        <f>IF(T204&gt;0,VLOOKUP($J204,Ruimtegroepen[],3,FALSE)*VLOOKUP($L204,Vloersoorten[],3,FALSE)*VLOOKUP($S204,Frequenties[],3,FALSE)*VLOOKUP($A204,Locaties[],3,FALSE),0)</f>
        <v>0</v>
      </c>
      <c r="V204" s="111">
        <f>Ruimtestaat[[#This Row],[Uitvoeringen werkdagen]]*Ruimtestaat[[#This Row],[Oppervlak (netto)]]</f>
        <v>1583.4</v>
      </c>
      <c r="W204" s="112">
        <f>IF(U204&gt;0,Ruimtestaat[[#This Row],[Prest. (m2 /jaar) werkdagen]]/Ruimtestaat[[#This Row],[Norm (m2/uur) werkdagen]],0)</f>
        <v>0</v>
      </c>
      <c r="X204" s="113">
        <f>Ruimtestaat[[#This Row],[uren / jaar werkdagen]]*Tariefsopbouw!$E$35</f>
        <v>0</v>
      </c>
      <c r="Y204" s="110"/>
      <c r="Z204" s="114">
        <f>IF(Ruimtestaat[[#This Row],[Frequentie weekend]]&gt;0,VALUE(LEFT(Y204,1))*R204,0)</f>
        <v>0</v>
      </c>
      <c r="AA204" s="110">
        <f>IF($Z204&gt;0,VLOOKUP($J204,Ruimtegroepen[],3,FALSE)*VLOOKUP($L204,Vloersoorten[],3,FALSE)*VLOOKUP($Y204,Frequenties[],3,FALSE)*VLOOKUP($A200,Locaties[],3,FALSE),0)</f>
        <v>0</v>
      </c>
      <c r="AB204" s="112">
        <f>Ruimtestaat[[#This Row],[Uitvoeringen weekend]]*Ruimtestaat[[#This Row],[Oppervlak (netto)]]</f>
        <v>0</v>
      </c>
      <c r="AC204" s="115">
        <f>IF(AB204&gt;0,Ruimtestaat[[#This Row],[Prest. (m2 /jaar) weekend]]/Ruimtestaat[[#This Row],[Norm (m2/uur) weekend]],0)</f>
        <v>0</v>
      </c>
      <c r="AD204" s="116">
        <f>Ruimtestaat[[#This Row],[uren / jaar weekend]]*Tariefsopbouw!$D$40</f>
        <v>0</v>
      </c>
      <c r="AE204" s="82">
        <f>Ruimtestaat[[#This Row],[Prest. (m2 /jaar) weekend]]+Ruimtestaat[[#This Row],[Prest. (m2 /jaar) werkdagen]]</f>
        <v>1583.4</v>
      </c>
      <c r="AF204" s="82">
        <f>Ruimtestaat[[#This Row],[uren / jaar weekend]]+Ruimtestaat[[#This Row],[uren / jaar werkdagen]]</f>
        <v>0</v>
      </c>
      <c r="AG204" s="83">
        <f>Ruimtestaat[[#This Row],[kosten / jaar weekend]]+Ruimtestaat[[#This Row],[kosten / jaar werkdagen]]</f>
        <v>0</v>
      </c>
      <c r="AH204" s="117"/>
      <c r="HL204" s="87"/>
    </row>
    <row r="205" spans="1:220" ht="15" customHeight="1">
      <c r="A205" s="136">
        <v>1</v>
      </c>
      <c r="B205" s="27" t="str">
        <f>VLOOKUP(Ruimtestaat[[#This Row],[Code]],Locaties[#All],2,FALSE)</f>
        <v>Amstelveen College</v>
      </c>
      <c r="C205" s="27" t="str">
        <f>VLOOKUP(Ruimtestaat[[#This Row],[Code]],Locaties[#All],4,FALSE)</f>
        <v>Sportlaan 27</v>
      </c>
      <c r="D205" s="27" t="str">
        <f>VLOOKUP(Ruimtestaat[[#This Row],[Code]],Locaties[#All],5,FALSE)</f>
        <v>1185 TB</v>
      </c>
      <c r="E205" s="27" t="str">
        <f>VLOOKUP(Ruimtestaat[[#This Row],[Code]],Locaties[#All],6,FALSE)</f>
        <v>Amstelveen</v>
      </c>
      <c r="F205" s="74"/>
      <c r="G205" s="27" t="s">
        <v>273</v>
      </c>
      <c r="H205" s="27" t="s">
        <v>308</v>
      </c>
      <c r="I205" s="24" t="s">
        <v>369</v>
      </c>
      <c r="J205" s="27">
        <v>6</v>
      </c>
      <c r="K205" s="74" t="str">
        <f>VLOOKUP(J205,Ruimtegroepen[],2,FALSE)</f>
        <v>Gangen/hallen</v>
      </c>
      <c r="L205" s="27" t="s">
        <v>114</v>
      </c>
      <c r="M205" s="27" t="s">
        <v>139</v>
      </c>
      <c r="N205" s="107">
        <v>171.2</v>
      </c>
      <c r="O205" s="107"/>
      <c r="P205" s="118" t="str">
        <f>LEFT(VLOOKUP(Ruimtestaat[[#This Row],[Ruimte code]],Ruimtegroepen[#All],4,1),2)</f>
        <v xml:space="preserve">V </v>
      </c>
      <c r="Q205" s="118"/>
      <c r="R205" s="108">
        <v>42</v>
      </c>
      <c r="S205" s="109" t="s">
        <v>2</v>
      </c>
      <c r="T205" s="110">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05" s="110">
        <f>IF(T205&gt;0,VLOOKUP($J205,Ruimtegroepen[],3,FALSE)*VLOOKUP($L205,Vloersoorten[],3,FALSE)*VLOOKUP($S205,Frequenties[],3,FALSE)*VLOOKUP($A205,Locaties[],3,FALSE),0)</f>
        <v>0</v>
      </c>
      <c r="V205" s="111">
        <f>Ruimtestaat[[#This Row],[Uitvoeringen werkdagen]]*Ruimtestaat[[#This Row],[Oppervlak (netto)]]</f>
        <v>35952</v>
      </c>
      <c r="W205" s="112">
        <f>IF(U205&gt;0,Ruimtestaat[[#This Row],[Prest. (m2 /jaar) werkdagen]]/Ruimtestaat[[#This Row],[Norm (m2/uur) werkdagen]],0)</f>
        <v>0</v>
      </c>
      <c r="X205" s="113">
        <f>Ruimtestaat[[#This Row],[uren / jaar werkdagen]]*Tariefsopbouw!$E$35</f>
        <v>0</v>
      </c>
      <c r="Y205" s="110"/>
      <c r="Z205" s="114">
        <f>IF(Ruimtestaat[[#This Row],[Frequentie weekend]]&gt;0,VALUE(LEFT(Y205,1))*R205,0)</f>
        <v>0</v>
      </c>
      <c r="AA205" s="110">
        <f>IF($Z205&gt;0,VLOOKUP($J205,Ruimtegroepen[],3,FALSE)*VLOOKUP($L205,Vloersoorten[],3,FALSE)*VLOOKUP($Y205,Frequenties[],3,FALSE)*VLOOKUP($A201,Locaties[],3,FALSE),0)</f>
        <v>0</v>
      </c>
      <c r="AB205" s="112">
        <f>Ruimtestaat[[#This Row],[Uitvoeringen weekend]]*Ruimtestaat[[#This Row],[Oppervlak (netto)]]</f>
        <v>0</v>
      </c>
      <c r="AC205" s="115">
        <f>IF(AB205&gt;0,Ruimtestaat[[#This Row],[Prest. (m2 /jaar) weekend]]/Ruimtestaat[[#This Row],[Norm (m2/uur) weekend]],0)</f>
        <v>0</v>
      </c>
      <c r="AD205" s="116">
        <f>Ruimtestaat[[#This Row],[uren / jaar weekend]]*Tariefsopbouw!$D$40</f>
        <v>0</v>
      </c>
      <c r="AE205" s="82">
        <f>Ruimtestaat[[#This Row],[Prest. (m2 /jaar) weekend]]+Ruimtestaat[[#This Row],[Prest. (m2 /jaar) werkdagen]]</f>
        <v>35952</v>
      </c>
      <c r="AF205" s="82">
        <f>Ruimtestaat[[#This Row],[uren / jaar weekend]]+Ruimtestaat[[#This Row],[uren / jaar werkdagen]]</f>
        <v>0</v>
      </c>
      <c r="AG205" s="83">
        <f>Ruimtestaat[[#This Row],[kosten / jaar weekend]]+Ruimtestaat[[#This Row],[kosten / jaar werkdagen]]</f>
        <v>0</v>
      </c>
      <c r="AH205" s="117"/>
      <c r="HL205" s="87"/>
    </row>
    <row r="206" spans="1:220" ht="15" customHeight="1">
      <c r="A206" s="136">
        <v>1</v>
      </c>
      <c r="B206" s="27" t="str">
        <f>VLOOKUP(Ruimtestaat[[#This Row],[Code]],Locaties[#All],2,FALSE)</f>
        <v>Amstelveen College</v>
      </c>
      <c r="C206" s="27" t="str">
        <f>VLOOKUP(Ruimtestaat[[#This Row],[Code]],Locaties[#All],4,FALSE)</f>
        <v>Sportlaan 27</v>
      </c>
      <c r="D206" s="27" t="str">
        <f>VLOOKUP(Ruimtestaat[[#This Row],[Code]],Locaties[#All],5,FALSE)</f>
        <v>1185 TB</v>
      </c>
      <c r="E206" s="27" t="str">
        <f>VLOOKUP(Ruimtestaat[[#This Row],[Code]],Locaties[#All],6,FALSE)</f>
        <v>Amstelveen</v>
      </c>
      <c r="F206" s="74"/>
      <c r="G206" s="27" t="s">
        <v>273</v>
      </c>
      <c r="H206" s="27" t="s">
        <v>309</v>
      </c>
      <c r="I206" s="24" t="s">
        <v>371</v>
      </c>
      <c r="J206" s="27">
        <v>16</v>
      </c>
      <c r="K206" s="74" t="str">
        <f>VLOOKUP(J206,Ruimtegroepen[],2,FALSE)</f>
        <v>Leslokalen theorie</v>
      </c>
      <c r="L206" s="27" t="s">
        <v>114</v>
      </c>
      <c r="M206" s="27" t="s">
        <v>139</v>
      </c>
      <c r="N206" s="107">
        <v>56.1</v>
      </c>
      <c r="O206" s="107"/>
      <c r="P206" s="118" t="str">
        <f>LEFT(VLOOKUP(Ruimtestaat[[#This Row],[Ruimte code]],Ruimtegroepen[#All],4,1),2)</f>
        <v xml:space="preserve">L </v>
      </c>
      <c r="Q206" s="118"/>
      <c r="R206" s="108">
        <v>40</v>
      </c>
      <c r="S206" s="109" t="s">
        <v>18</v>
      </c>
      <c r="T206" s="110">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06" s="110">
        <f>IF(T206&gt;0,VLOOKUP($J206,Ruimtegroepen[],3,FALSE)*VLOOKUP($L206,Vloersoorten[],3,FALSE)*VLOOKUP($S206,Frequenties[],3,FALSE)*VLOOKUP($A206,Locaties[],3,FALSE),0)</f>
        <v>0</v>
      </c>
      <c r="V206" s="111">
        <f>Ruimtestaat[[#This Row],[Uitvoeringen werkdagen]]*Ruimtestaat[[#This Row],[Oppervlak (netto)]]</f>
        <v>6732</v>
      </c>
      <c r="W206" s="112">
        <f>IF(U206&gt;0,Ruimtestaat[[#This Row],[Prest. (m2 /jaar) werkdagen]]/Ruimtestaat[[#This Row],[Norm (m2/uur) werkdagen]],0)</f>
        <v>0</v>
      </c>
      <c r="X206" s="113">
        <f>Ruimtestaat[[#This Row],[uren / jaar werkdagen]]*Tariefsopbouw!$E$35</f>
        <v>0</v>
      </c>
      <c r="Y206" s="110"/>
      <c r="Z206" s="114">
        <f>IF(Ruimtestaat[[#This Row],[Frequentie weekend]]&gt;0,VALUE(LEFT(Y206,1))*R206,0)</f>
        <v>0</v>
      </c>
      <c r="AA206" s="110">
        <f>IF($Z206&gt;0,VLOOKUP($J206,Ruimtegroepen[],3,FALSE)*VLOOKUP($L206,Vloersoorten[],3,FALSE)*VLOOKUP($Y206,Frequenties[],3,FALSE)*VLOOKUP($A202,Locaties[],3,FALSE),0)</f>
        <v>0</v>
      </c>
      <c r="AB206" s="112">
        <f>Ruimtestaat[[#This Row],[Uitvoeringen weekend]]*Ruimtestaat[[#This Row],[Oppervlak (netto)]]</f>
        <v>0</v>
      </c>
      <c r="AC206" s="115">
        <f>IF(AB206&gt;0,Ruimtestaat[[#This Row],[Prest. (m2 /jaar) weekend]]/Ruimtestaat[[#This Row],[Norm (m2/uur) weekend]],0)</f>
        <v>0</v>
      </c>
      <c r="AD206" s="116">
        <f>Ruimtestaat[[#This Row],[uren / jaar weekend]]*Tariefsopbouw!$D$40</f>
        <v>0</v>
      </c>
      <c r="AE206" s="82">
        <f>Ruimtestaat[[#This Row],[Prest. (m2 /jaar) weekend]]+Ruimtestaat[[#This Row],[Prest. (m2 /jaar) werkdagen]]</f>
        <v>6732</v>
      </c>
      <c r="AF206" s="82">
        <f>Ruimtestaat[[#This Row],[uren / jaar weekend]]+Ruimtestaat[[#This Row],[uren / jaar werkdagen]]</f>
        <v>0</v>
      </c>
      <c r="AG206" s="83">
        <f>Ruimtestaat[[#This Row],[kosten / jaar weekend]]+Ruimtestaat[[#This Row],[kosten / jaar werkdagen]]</f>
        <v>0</v>
      </c>
      <c r="AH206" s="117"/>
      <c r="HL206" s="87"/>
    </row>
    <row r="207" spans="1:220" ht="15" customHeight="1">
      <c r="A207" s="136">
        <v>1</v>
      </c>
      <c r="B207" s="27" t="str">
        <f>VLOOKUP(Ruimtestaat[[#This Row],[Code]],Locaties[#All],2,FALSE)</f>
        <v>Amstelveen College</v>
      </c>
      <c r="C207" s="27" t="str">
        <f>VLOOKUP(Ruimtestaat[[#This Row],[Code]],Locaties[#All],4,FALSE)</f>
        <v>Sportlaan 27</v>
      </c>
      <c r="D207" s="27" t="str">
        <f>VLOOKUP(Ruimtestaat[[#This Row],[Code]],Locaties[#All],5,FALSE)</f>
        <v>1185 TB</v>
      </c>
      <c r="E207" s="27" t="str">
        <f>VLOOKUP(Ruimtestaat[[#This Row],[Code]],Locaties[#All],6,FALSE)</f>
        <v>Amstelveen</v>
      </c>
      <c r="F207" s="74"/>
      <c r="G207" s="27" t="s">
        <v>273</v>
      </c>
      <c r="H207" s="27" t="s">
        <v>310</v>
      </c>
      <c r="I207" s="24" t="s">
        <v>375</v>
      </c>
      <c r="J207" s="27">
        <v>2</v>
      </c>
      <c r="K207" s="74" t="str">
        <f>VLOOKUP(J207,Ruimtegroepen[],2,FALSE)</f>
        <v>Kantoren</v>
      </c>
      <c r="L207" s="27" t="s">
        <v>113</v>
      </c>
      <c r="M207" s="27" t="s">
        <v>39</v>
      </c>
      <c r="N207" s="107">
        <v>16.7</v>
      </c>
      <c r="O207" s="107"/>
      <c r="P207" s="118" t="str">
        <f>LEFT(VLOOKUP(Ruimtestaat[[#This Row],[Ruimte code]],Ruimtegroepen[#All],4,1),2)</f>
        <v xml:space="preserve">B </v>
      </c>
      <c r="Q207" s="118"/>
      <c r="R207" s="108">
        <v>42</v>
      </c>
      <c r="S207" s="109" t="s">
        <v>15</v>
      </c>
      <c r="T207" s="110">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07" s="110">
        <f>IF(T207&gt;0,VLOOKUP($J207,Ruimtegroepen[],3,FALSE)*VLOOKUP($L207,Vloersoorten[],3,FALSE)*VLOOKUP($S207,Frequenties[],3,FALSE)*VLOOKUP($A207,Locaties[],3,FALSE),0)</f>
        <v>0</v>
      </c>
      <c r="V207" s="111">
        <f>Ruimtestaat[[#This Row],[Uitvoeringen werkdagen]]*Ruimtestaat[[#This Row],[Oppervlak (netto)]]</f>
        <v>701.4</v>
      </c>
      <c r="W207" s="112">
        <f>IF(U207&gt;0,Ruimtestaat[[#This Row],[Prest. (m2 /jaar) werkdagen]]/Ruimtestaat[[#This Row],[Norm (m2/uur) werkdagen]],0)</f>
        <v>0</v>
      </c>
      <c r="X207" s="113">
        <f>Ruimtestaat[[#This Row],[uren / jaar werkdagen]]*Tariefsopbouw!$E$35</f>
        <v>0</v>
      </c>
      <c r="Y207" s="110"/>
      <c r="Z207" s="114">
        <f>IF(Ruimtestaat[[#This Row],[Frequentie weekend]]&gt;0,VALUE(LEFT(Y207,1))*R207,0)</f>
        <v>0</v>
      </c>
      <c r="AA207" s="110">
        <f>IF($Z207&gt;0,VLOOKUP($J207,Ruimtegroepen[],3,FALSE)*VLOOKUP($L207,Vloersoorten[],3,FALSE)*VLOOKUP($Y207,Frequenties[],3,FALSE)*VLOOKUP($A203,Locaties[],3,FALSE),0)</f>
        <v>0</v>
      </c>
      <c r="AB207" s="112">
        <f>Ruimtestaat[[#This Row],[Uitvoeringen weekend]]*Ruimtestaat[[#This Row],[Oppervlak (netto)]]</f>
        <v>0</v>
      </c>
      <c r="AC207" s="115">
        <f>IF(AB207&gt;0,Ruimtestaat[[#This Row],[Prest. (m2 /jaar) weekend]]/Ruimtestaat[[#This Row],[Norm (m2/uur) weekend]],0)</f>
        <v>0</v>
      </c>
      <c r="AD207" s="116">
        <f>Ruimtestaat[[#This Row],[uren / jaar weekend]]*Tariefsopbouw!$D$40</f>
        <v>0</v>
      </c>
      <c r="AE207" s="82">
        <f>Ruimtestaat[[#This Row],[Prest. (m2 /jaar) weekend]]+Ruimtestaat[[#This Row],[Prest. (m2 /jaar) werkdagen]]</f>
        <v>701.4</v>
      </c>
      <c r="AF207" s="82">
        <f>Ruimtestaat[[#This Row],[uren / jaar weekend]]+Ruimtestaat[[#This Row],[uren / jaar werkdagen]]</f>
        <v>0</v>
      </c>
      <c r="AG207" s="83">
        <f>Ruimtestaat[[#This Row],[kosten / jaar weekend]]+Ruimtestaat[[#This Row],[kosten / jaar werkdagen]]</f>
        <v>0</v>
      </c>
      <c r="AH207" s="117"/>
      <c r="HL207" s="87"/>
    </row>
    <row r="208" spans="1:220" ht="15" customHeight="1">
      <c r="A208" s="136">
        <v>1</v>
      </c>
      <c r="B208" s="27" t="str">
        <f>VLOOKUP(Ruimtestaat[[#This Row],[Code]],Locaties[#All],2,FALSE)</f>
        <v>Amstelveen College</v>
      </c>
      <c r="C208" s="27" t="str">
        <f>VLOOKUP(Ruimtestaat[[#This Row],[Code]],Locaties[#All],4,FALSE)</f>
        <v>Sportlaan 27</v>
      </c>
      <c r="D208" s="27" t="str">
        <f>VLOOKUP(Ruimtestaat[[#This Row],[Code]],Locaties[#All],5,FALSE)</f>
        <v>1185 TB</v>
      </c>
      <c r="E208" s="27" t="str">
        <f>VLOOKUP(Ruimtestaat[[#This Row],[Code]],Locaties[#All],6,FALSE)</f>
        <v>Amstelveen</v>
      </c>
      <c r="F208" s="74"/>
      <c r="G208" s="27" t="s">
        <v>273</v>
      </c>
      <c r="H208" s="27" t="s">
        <v>311</v>
      </c>
      <c r="I208" s="24" t="s">
        <v>369</v>
      </c>
      <c r="J208" s="27">
        <v>6</v>
      </c>
      <c r="K208" s="74" t="str">
        <f>VLOOKUP(J208,Ruimtegroepen[],2,FALSE)</f>
        <v>Gangen/hallen</v>
      </c>
      <c r="L208" s="27" t="s">
        <v>114</v>
      </c>
      <c r="M208" s="27" t="s">
        <v>139</v>
      </c>
      <c r="N208" s="107">
        <v>22.5</v>
      </c>
      <c r="O208" s="107"/>
      <c r="P208" s="118" t="str">
        <f>LEFT(VLOOKUP(Ruimtestaat[[#This Row],[Ruimte code]],Ruimtegroepen[#All],4,1),2)</f>
        <v xml:space="preserve">V </v>
      </c>
      <c r="Q208" s="118"/>
      <c r="R208" s="108">
        <v>42</v>
      </c>
      <c r="S208" s="109" t="s">
        <v>2</v>
      </c>
      <c r="T208" s="110">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08" s="110">
        <f>IF(T208&gt;0,VLOOKUP($J208,Ruimtegroepen[],3,FALSE)*VLOOKUP($L208,Vloersoorten[],3,FALSE)*VLOOKUP($S208,Frequenties[],3,FALSE)*VLOOKUP($A208,Locaties[],3,FALSE),0)</f>
        <v>0</v>
      </c>
      <c r="V208" s="111">
        <f>Ruimtestaat[[#This Row],[Uitvoeringen werkdagen]]*Ruimtestaat[[#This Row],[Oppervlak (netto)]]</f>
        <v>4725</v>
      </c>
      <c r="W208" s="112">
        <f>IF(U208&gt;0,Ruimtestaat[[#This Row],[Prest. (m2 /jaar) werkdagen]]/Ruimtestaat[[#This Row],[Norm (m2/uur) werkdagen]],0)</f>
        <v>0</v>
      </c>
      <c r="X208" s="113">
        <f>Ruimtestaat[[#This Row],[uren / jaar werkdagen]]*Tariefsopbouw!$E$35</f>
        <v>0</v>
      </c>
      <c r="Y208" s="110"/>
      <c r="Z208" s="114">
        <f>IF(Ruimtestaat[[#This Row],[Frequentie weekend]]&gt;0,VALUE(LEFT(Y208,1))*R208,0)</f>
        <v>0</v>
      </c>
      <c r="AA208" s="110">
        <f>IF($Z208&gt;0,VLOOKUP($J208,Ruimtegroepen[],3,FALSE)*VLOOKUP($L208,Vloersoorten[],3,FALSE)*VLOOKUP($Y208,Frequenties[],3,FALSE)*VLOOKUP($A204,Locaties[],3,FALSE),0)</f>
        <v>0</v>
      </c>
      <c r="AB208" s="112">
        <f>Ruimtestaat[[#This Row],[Uitvoeringen weekend]]*Ruimtestaat[[#This Row],[Oppervlak (netto)]]</f>
        <v>0</v>
      </c>
      <c r="AC208" s="115">
        <f>IF(AB208&gt;0,Ruimtestaat[[#This Row],[Prest. (m2 /jaar) weekend]]/Ruimtestaat[[#This Row],[Norm (m2/uur) weekend]],0)</f>
        <v>0</v>
      </c>
      <c r="AD208" s="116">
        <f>Ruimtestaat[[#This Row],[uren / jaar weekend]]*Tariefsopbouw!$D$40</f>
        <v>0</v>
      </c>
      <c r="AE208" s="82">
        <f>Ruimtestaat[[#This Row],[Prest. (m2 /jaar) weekend]]+Ruimtestaat[[#This Row],[Prest. (m2 /jaar) werkdagen]]</f>
        <v>4725</v>
      </c>
      <c r="AF208" s="82">
        <f>Ruimtestaat[[#This Row],[uren / jaar weekend]]+Ruimtestaat[[#This Row],[uren / jaar werkdagen]]</f>
        <v>0</v>
      </c>
      <c r="AG208" s="83">
        <f>Ruimtestaat[[#This Row],[kosten / jaar weekend]]+Ruimtestaat[[#This Row],[kosten / jaar werkdagen]]</f>
        <v>0</v>
      </c>
      <c r="AH208" s="117"/>
      <c r="HL208" s="87"/>
    </row>
    <row r="209" spans="1:220" ht="15" customHeight="1">
      <c r="A209" s="136">
        <v>1</v>
      </c>
      <c r="B209" s="27" t="str">
        <f>VLOOKUP(Ruimtestaat[[#This Row],[Code]],Locaties[#All],2,FALSE)</f>
        <v>Amstelveen College</v>
      </c>
      <c r="C209" s="27" t="str">
        <f>VLOOKUP(Ruimtestaat[[#This Row],[Code]],Locaties[#All],4,FALSE)</f>
        <v>Sportlaan 27</v>
      </c>
      <c r="D209" s="27" t="str">
        <f>VLOOKUP(Ruimtestaat[[#This Row],[Code]],Locaties[#All],5,FALSE)</f>
        <v>1185 TB</v>
      </c>
      <c r="E209" s="27" t="str">
        <f>VLOOKUP(Ruimtestaat[[#This Row],[Code]],Locaties[#All],6,FALSE)</f>
        <v>Amstelveen</v>
      </c>
      <c r="F209" s="74"/>
      <c r="G209" s="27" t="s">
        <v>273</v>
      </c>
      <c r="H209" s="27" t="s">
        <v>312</v>
      </c>
      <c r="I209" s="24" t="s">
        <v>373</v>
      </c>
      <c r="J209" s="27">
        <v>6</v>
      </c>
      <c r="K209" s="74" t="str">
        <f>VLOOKUP(J209,Ruimtegroepen[],2,FALSE)</f>
        <v>Gangen/hallen</v>
      </c>
      <c r="L209" s="27" t="s">
        <v>113</v>
      </c>
      <c r="M209" s="27" t="s">
        <v>39</v>
      </c>
      <c r="N209" s="107">
        <v>9.6999999999999993</v>
      </c>
      <c r="O209" s="107"/>
      <c r="P209" s="118" t="str">
        <f>LEFT(VLOOKUP(Ruimtestaat[[#This Row],[Ruimte code]],Ruimtegroepen[#All],4,1),2)</f>
        <v xml:space="preserve">V </v>
      </c>
      <c r="Q209" s="118"/>
      <c r="R209" s="108">
        <v>42</v>
      </c>
      <c r="S209" s="109" t="s">
        <v>2</v>
      </c>
      <c r="T209" s="110">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09" s="110">
        <f>IF(T209&gt;0,VLOOKUP($J209,Ruimtegroepen[],3,FALSE)*VLOOKUP($L209,Vloersoorten[],3,FALSE)*VLOOKUP($S209,Frequenties[],3,FALSE)*VLOOKUP($A209,Locaties[],3,FALSE),0)</f>
        <v>0</v>
      </c>
      <c r="V209" s="111">
        <f>Ruimtestaat[[#This Row],[Uitvoeringen werkdagen]]*Ruimtestaat[[#This Row],[Oppervlak (netto)]]</f>
        <v>2036.9999999999998</v>
      </c>
      <c r="W209" s="112">
        <f>IF(U209&gt;0,Ruimtestaat[[#This Row],[Prest. (m2 /jaar) werkdagen]]/Ruimtestaat[[#This Row],[Norm (m2/uur) werkdagen]],0)</f>
        <v>0</v>
      </c>
      <c r="X209" s="113">
        <f>Ruimtestaat[[#This Row],[uren / jaar werkdagen]]*Tariefsopbouw!$E$35</f>
        <v>0</v>
      </c>
      <c r="Y209" s="110"/>
      <c r="Z209" s="114">
        <f>IF(Ruimtestaat[[#This Row],[Frequentie weekend]]&gt;0,VALUE(LEFT(Y209,1))*R209,0)</f>
        <v>0</v>
      </c>
      <c r="AA209" s="110">
        <f>IF($Z209&gt;0,VLOOKUP($J209,Ruimtegroepen[],3,FALSE)*VLOOKUP($L209,Vloersoorten[],3,FALSE)*VLOOKUP($Y209,Frequenties[],3,FALSE)*VLOOKUP($A205,Locaties[],3,FALSE),0)</f>
        <v>0</v>
      </c>
      <c r="AB209" s="112">
        <f>Ruimtestaat[[#This Row],[Uitvoeringen weekend]]*Ruimtestaat[[#This Row],[Oppervlak (netto)]]</f>
        <v>0</v>
      </c>
      <c r="AC209" s="115">
        <f>IF(AB209&gt;0,Ruimtestaat[[#This Row],[Prest. (m2 /jaar) weekend]]/Ruimtestaat[[#This Row],[Norm (m2/uur) weekend]],0)</f>
        <v>0</v>
      </c>
      <c r="AD209" s="116">
        <f>Ruimtestaat[[#This Row],[uren / jaar weekend]]*Tariefsopbouw!$D$40</f>
        <v>0</v>
      </c>
      <c r="AE209" s="82">
        <f>Ruimtestaat[[#This Row],[Prest. (m2 /jaar) weekend]]+Ruimtestaat[[#This Row],[Prest. (m2 /jaar) werkdagen]]</f>
        <v>2036.9999999999998</v>
      </c>
      <c r="AF209" s="82">
        <f>Ruimtestaat[[#This Row],[uren / jaar weekend]]+Ruimtestaat[[#This Row],[uren / jaar werkdagen]]</f>
        <v>0</v>
      </c>
      <c r="AG209" s="83">
        <f>Ruimtestaat[[#This Row],[kosten / jaar weekend]]+Ruimtestaat[[#This Row],[kosten / jaar werkdagen]]</f>
        <v>0</v>
      </c>
      <c r="AH209" s="117"/>
      <c r="HL209" s="87"/>
    </row>
    <row r="210" spans="1:220" ht="15" customHeight="1">
      <c r="A210" s="136">
        <v>1</v>
      </c>
      <c r="B210" s="27" t="str">
        <f>VLOOKUP(Ruimtestaat[[#This Row],[Code]],Locaties[#All],2,FALSE)</f>
        <v>Amstelveen College</v>
      </c>
      <c r="C210" s="27" t="str">
        <f>VLOOKUP(Ruimtestaat[[#This Row],[Code]],Locaties[#All],4,FALSE)</f>
        <v>Sportlaan 27</v>
      </c>
      <c r="D210" s="27" t="str">
        <f>VLOOKUP(Ruimtestaat[[#This Row],[Code]],Locaties[#All],5,FALSE)</f>
        <v>1185 TB</v>
      </c>
      <c r="E210" s="27" t="str">
        <f>VLOOKUP(Ruimtestaat[[#This Row],[Code]],Locaties[#All],6,FALSE)</f>
        <v>Amstelveen</v>
      </c>
      <c r="F210" s="74"/>
      <c r="G210" s="27" t="s">
        <v>273</v>
      </c>
      <c r="H210" s="27" t="s">
        <v>313</v>
      </c>
      <c r="I210" s="24" t="s">
        <v>371</v>
      </c>
      <c r="J210" s="27">
        <v>16</v>
      </c>
      <c r="K210" s="74" t="str">
        <f>VLOOKUP(J210,Ruimtegroepen[],2,FALSE)</f>
        <v>Leslokalen theorie</v>
      </c>
      <c r="L210" s="27" t="s">
        <v>114</v>
      </c>
      <c r="M210" s="27" t="s">
        <v>139</v>
      </c>
      <c r="N210" s="107">
        <v>59.6</v>
      </c>
      <c r="O210" s="107"/>
      <c r="P210" s="118" t="str">
        <f>LEFT(VLOOKUP(Ruimtestaat[[#This Row],[Ruimte code]],Ruimtegroepen[#All],4,1),2)</f>
        <v xml:space="preserve">L </v>
      </c>
      <c r="Q210" s="118"/>
      <c r="R210" s="108">
        <v>40</v>
      </c>
      <c r="S210" s="109" t="s">
        <v>18</v>
      </c>
      <c r="T210" s="110">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0" s="110">
        <f>IF(T210&gt;0,VLOOKUP($J210,Ruimtegroepen[],3,FALSE)*VLOOKUP($L210,Vloersoorten[],3,FALSE)*VLOOKUP($S210,Frequenties[],3,FALSE)*VLOOKUP($A210,Locaties[],3,FALSE),0)</f>
        <v>0</v>
      </c>
      <c r="V210" s="111">
        <f>Ruimtestaat[[#This Row],[Uitvoeringen werkdagen]]*Ruimtestaat[[#This Row],[Oppervlak (netto)]]</f>
        <v>7152</v>
      </c>
      <c r="W210" s="112">
        <f>IF(U210&gt;0,Ruimtestaat[[#This Row],[Prest. (m2 /jaar) werkdagen]]/Ruimtestaat[[#This Row],[Norm (m2/uur) werkdagen]],0)</f>
        <v>0</v>
      </c>
      <c r="X210" s="113">
        <f>Ruimtestaat[[#This Row],[uren / jaar werkdagen]]*Tariefsopbouw!$E$35</f>
        <v>0</v>
      </c>
      <c r="Y210" s="110"/>
      <c r="Z210" s="114">
        <f>IF(Ruimtestaat[[#This Row],[Frequentie weekend]]&gt;0,VALUE(LEFT(Y210,1))*R210,0)</f>
        <v>0</v>
      </c>
      <c r="AA210" s="110">
        <f>IF($Z210&gt;0,VLOOKUP($J210,Ruimtegroepen[],3,FALSE)*VLOOKUP($L210,Vloersoorten[],3,FALSE)*VLOOKUP($Y210,Frequenties[],3,FALSE)*VLOOKUP($A206,Locaties[],3,FALSE),0)</f>
        <v>0</v>
      </c>
      <c r="AB210" s="112">
        <f>Ruimtestaat[[#This Row],[Uitvoeringen weekend]]*Ruimtestaat[[#This Row],[Oppervlak (netto)]]</f>
        <v>0</v>
      </c>
      <c r="AC210" s="115">
        <f>IF(AB210&gt;0,Ruimtestaat[[#This Row],[Prest. (m2 /jaar) weekend]]/Ruimtestaat[[#This Row],[Norm (m2/uur) weekend]],0)</f>
        <v>0</v>
      </c>
      <c r="AD210" s="116">
        <f>Ruimtestaat[[#This Row],[uren / jaar weekend]]*Tariefsopbouw!$D$40</f>
        <v>0</v>
      </c>
      <c r="AE210" s="82">
        <f>Ruimtestaat[[#This Row],[Prest. (m2 /jaar) weekend]]+Ruimtestaat[[#This Row],[Prest. (m2 /jaar) werkdagen]]</f>
        <v>7152</v>
      </c>
      <c r="AF210" s="82">
        <f>Ruimtestaat[[#This Row],[uren / jaar weekend]]+Ruimtestaat[[#This Row],[uren / jaar werkdagen]]</f>
        <v>0</v>
      </c>
      <c r="AG210" s="83">
        <f>Ruimtestaat[[#This Row],[kosten / jaar weekend]]+Ruimtestaat[[#This Row],[kosten / jaar werkdagen]]</f>
        <v>0</v>
      </c>
      <c r="AH210" s="117"/>
      <c r="HL210" s="87"/>
    </row>
    <row r="211" spans="1:220" ht="15" customHeight="1">
      <c r="A211" s="136">
        <v>1</v>
      </c>
      <c r="B211" s="27" t="str">
        <f>VLOOKUP(Ruimtestaat[[#This Row],[Code]],Locaties[#All],2,FALSE)</f>
        <v>Amstelveen College</v>
      </c>
      <c r="C211" s="27" t="str">
        <f>VLOOKUP(Ruimtestaat[[#This Row],[Code]],Locaties[#All],4,FALSE)</f>
        <v>Sportlaan 27</v>
      </c>
      <c r="D211" s="27" t="str">
        <f>VLOOKUP(Ruimtestaat[[#This Row],[Code]],Locaties[#All],5,FALSE)</f>
        <v>1185 TB</v>
      </c>
      <c r="E211" s="27" t="str">
        <f>VLOOKUP(Ruimtestaat[[#This Row],[Code]],Locaties[#All],6,FALSE)</f>
        <v>Amstelveen</v>
      </c>
      <c r="F211" s="74"/>
      <c r="G211" s="27" t="s">
        <v>273</v>
      </c>
      <c r="H211" s="27" t="s">
        <v>314</v>
      </c>
      <c r="I211" s="24" t="s">
        <v>371</v>
      </c>
      <c r="J211" s="27">
        <v>16</v>
      </c>
      <c r="K211" s="74" t="str">
        <f>VLOOKUP(J211,Ruimtegroepen[],2,FALSE)</f>
        <v>Leslokalen theorie</v>
      </c>
      <c r="L211" s="27" t="s">
        <v>114</v>
      </c>
      <c r="M211" s="27" t="s">
        <v>139</v>
      </c>
      <c r="N211" s="107">
        <v>56.8</v>
      </c>
      <c r="O211" s="107"/>
      <c r="P211" s="118" t="str">
        <f>LEFT(VLOOKUP(Ruimtestaat[[#This Row],[Ruimte code]],Ruimtegroepen[#All],4,1),2)</f>
        <v xml:space="preserve">L </v>
      </c>
      <c r="Q211" s="118"/>
      <c r="R211" s="108">
        <v>40</v>
      </c>
      <c r="S211" s="109" t="s">
        <v>18</v>
      </c>
      <c r="T211" s="110">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1" s="110">
        <f>IF(T211&gt;0,VLOOKUP($J211,Ruimtegroepen[],3,FALSE)*VLOOKUP($L211,Vloersoorten[],3,FALSE)*VLOOKUP($S211,Frequenties[],3,FALSE)*VLOOKUP($A211,Locaties[],3,FALSE),0)</f>
        <v>0</v>
      </c>
      <c r="V211" s="111">
        <f>Ruimtestaat[[#This Row],[Uitvoeringen werkdagen]]*Ruimtestaat[[#This Row],[Oppervlak (netto)]]</f>
        <v>6816</v>
      </c>
      <c r="W211" s="112">
        <f>IF(U211&gt;0,Ruimtestaat[[#This Row],[Prest. (m2 /jaar) werkdagen]]/Ruimtestaat[[#This Row],[Norm (m2/uur) werkdagen]],0)</f>
        <v>0</v>
      </c>
      <c r="X211" s="113">
        <f>Ruimtestaat[[#This Row],[uren / jaar werkdagen]]*Tariefsopbouw!$E$35</f>
        <v>0</v>
      </c>
      <c r="Y211" s="110"/>
      <c r="Z211" s="114">
        <f>IF(Ruimtestaat[[#This Row],[Frequentie weekend]]&gt;0,VALUE(LEFT(Y211,1))*R211,0)</f>
        <v>0</v>
      </c>
      <c r="AA211" s="110">
        <f>IF($Z211&gt;0,VLOOKUP($J211,Ruimtegroepen[],3,FALSE)*VLOOKUP($L211,Vloersoorten[],3,FALSE)*VLOOKUP($Y211,Frequenties[],3,FALSE)*VLOOKUP($A207,Locaties[],3,FALSE),0)</f>
        <v>0</v>
      </c>
      <c r="AB211" s="112">
        <f>Ruimtestaat[[#This Row],[Uitvoeringen weekend]]*Ruimtestaat[[#This Row],[Oppervlak (netto)]]</f>
        <v>0</v>
      </c>
      <c r="AC211" s="115">
        <f>IF(AB211&gt;0,Ruimtestaat[[#This Row],[Prest. (m2 /jaar) weekend]]/Ruimtestaat[[#This Row],[Norm (m2/uur) weekend]],0)</f>
        <v>0</v>
      </c>
      <c r="AD211" s="116">
        <f>Ruimtestaat[[#This Row],[uren / jaar weekend]]*Tariefsopbouw!$D$40</f>
        <v>0</v>
      </c>
      <c r="AE211" s="82">
        <f>Ruimtestaat[[#This Row],[Prest. (m2 /jaar) weekend]]+Ruimtestaat[[#This Row],[Prest. (m2 /jaar) werkdagen]]</f>
        <v>6816</v>
      </c>
      <c r="AF211" s="82">
        <f>Ruimtestaat[[#This Row],[uren / jaar weekend]]+Ruimtestaat[[#This Row],[uren / jaar werkdagen]]</f>
        <v>0</v>
      </c>
      <c r="AG211" s="83">
        <f>Ruimtestaat[[#This Row],[kosten / jaar weekend]]+Ruimtestaat[[#This Row],[kosten / jaar werkdagen]]</f>
        <v>0</v>
      </c>
      <c r="AH211" s="117"/>
      <c r="HL211" s="87"/>
    </row>
    <row r="212" spans="1:220" ht="15" customHeight="1">
      <c r="A212" s="136">
        <v>1</v>
      </c>
      <c r="B212" s="27" t="str">
        <f>VLOOKUP(Ruimtestaat[[#This Row],[Code]],Locaties[#All],2,FALSE)</f>
        <v>Amstelveen College</v>
      </c>
      <c r="C212" s="27" t="str">
        <f>VLOOKUP(Ruimtestaat[[#This Row],[Code]],Locaties[#All],4,FALSE)</f>
        <v>Sportlaan 27</v>
      </c>
      <c r="D212" s="27" t="str">
        <f>VLOOKUP(Ruimtestaat[[#This Row],[Code]],Locaties[#All],5,FALSE)</f>
        <v>1185 TB</v>
      </c>
      <c r="E212" s="27" t="str">
        <f>VLOOKUP(Ruimtestaat[[#This Row],[Code]],Locaties[#All],6,FALSE)</f>
        <v>Amstelveen</v>
      </c>
      <c r="F212" s="74"/>
      <c r="G212" s="27" t="s">
        <v>273</v>
      </c>
      <c r="H212" s="27" t="s">
        <v>315</v>
      </c>
      <c r="I212" s="24" t="s">
        <v>371</v>
      </c>
      <c r="J212" s="27">
        <v>16</v>
      </c>
      <c r="K212" s="74" t="str">
        <f>VLOOKUP(J212,Ruimtegroepen[],2,FALSE)</f>
        <v>Leslokalen theorie</v>
      </c>
      <c r="L212" s="27" t="s">
        <v>114</v>
      </c>
      <c r="M212" s="27" t="s">
        <v>139</v>
      </c>
      <c r="N212" s="107">
        <v>56.8</v>
      </c>
      <c r="O212" s="107"/>
      <c r="P212" s="118" t="str">
        <f>LEFT(VLOOKUP(Ruimtestaat[[#This Row],[Ruimte code]],Ruimtegroepen[#All],4,1),2)</f>
        <v xml:space="preserve">L </v>
      </c>
      <c r="Q212" s="118"/>
      <c r="R212" s="108">
        <v>40</v>
      </c>
      <c r="S212" s="109" t="s">
        <v>18</v>
      </c>
      <c r="T212" s="110">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2" s="110">
        <f>IF(T212&gt;0,VLOOKUP($J212,Ruimtegroepen[],3,FALSE)*VLOOKUP($L212,Vloersoorten[],3,FALSE)*VLOOKUP($S212,Frequenties[],3,FALSE)*VLOOKUP($A212,Locaties[],3,FALSE),0)</f>
        <v>0</v>
      </c>
      <c r="V212" s="111">
        <f>Ruimtestaat[[#This Row],[Uitvoeringen werkdagen]]*Ruimtestaat[[#This Row],[Oppervlak (netto)]]</f>
        <v>6816</v>
      </c>
      <c r="W212" s="112">
        <f>IF(U212&gt;0,Ruimtestaat[[#This Row],[Prest. (m2 /jaar) werkdagen]]/Ruimtestaat[[#This Row],[Norm (m2/uur) werkdagen]],0)</f>
        <v>0</v>
      </c>
      <c r="X212" s="113">
        <f>Ruimtestaat[[#This Row],[uren / jaar werkdagen]]*Tariefsopbouw!$E$35</f>
        <v>0</v>
      </c>
      <c r="Y212" s="110"/>
      <c r="Z212" s="114">
        <f>IF(Ruimtestaat[[#This Row],[Frequentie weekend]]&gt;0,VALUE(LEFT(Y212,1))*R212,0)</f>
        <v>0</v>
      </c>
      <c r="AA212" s="110">
        <f>IF($Z212&gt;0,VLOOKUP($J212,Ruimtegroepen[],3,FALSE)*VLOOKUP($L212,Vloersoorten[],3,FALSE)*VLOOKUP($Y212,Frequenties[],3,FALSE)*VLOOKUP($A208,Locaties[],3,FALSE),0)</f>
        <v>0</v>
      </c>
      <c r="AB212" s="112">
        <f>Ruimtestaat[[#This Row],[Uitvoeringen weekend]]*Ruimtestaat[[#This Row],[Oppervlak (netto)]]</f>
        <v>0</v>
      </c>
      <c r="AC212" s="115">
        <f>IF(AB212&gt;0,Ruimtestaat[[#This Row],[Prest. (m2 /jaar) weekend]]/Ruimtestaat[[#This Row],[Norm (m2/uur) weekend]],0)</f>
        <v>0</v>
      </c>
      <c r="AD212" s="116">
        <f>Ruimtestaat[[#This Row],[uren / jaar weekend]]*Tariefsopbouw!$D$40</f>
        <v>0</v>
      </c>
      <c r="AE212" s="82">
        <f>Ruimtestaat[[#This Row],[Prest. (m2 /jaar) weekend]]+Ruimtestaat[[#This Row],[Prest. (m2 /jaar) werkdagen]]</f>
        <v>6816</v>
      </c>
      <c r="AF212" s="82">
        <f>Ruimtestaat[[#This Row],[uren / jaar weekend]]+Ruimtestaat[[#This Row],[uren / jaar werkdagen]]</f>
        <v>0</v>
      </c>
      <c r="AG212" s="83">
        <f>Ruimtestaat[[#This Row],[kosten / jaar weekend]]+Ruimtestaat[[#This Row],[kosten / jaar werkdagen]]</f>
        <v>0</v>
      </c>
      <c r="AH212" s="117"/>
      <c r="HL212" s="87"/>
    </row>
    <row r="213" spans="1:220" ht="15" customHeight="1">
      <c r="A213" s="136">
        <v>1</v>
      </c>
      <c r="B213" s="27" t="str">
        <f>VLOOKUP(Ruimtestaat[[#This Row],[Code]],Locaties[#All],2,FALSE)</f>
        <v>Amstelveen College</v>
      </c>
      <c r="C213" s="27" t="str">
        <f>VLOOKUP(Ruimtestaat[[#This Row],[Code]],Locaties[#All],4,FALSE)</f>
        <v>Sportlaan 27</v>
      </c>
      <c r="D213" s="27" t="str">
        <f>VLOOKUP(Ruimtestaat[[#This Row],[Code]],Locaties[#All],5,FALSE)</f>
        <v>1185 TB</v>
      </c>
      <c r="E213" s="27" t="str">
        <f>VLOOKUP(Ruimtestaat[[#This Row],[Code]],Locaties[#All],6,FALSE)</f>
        <v>Amstelveen</v>
      </c>
      <c r="F213" s="74"/>
      <c r="G213" s="27" t="s">
        <v>273</v>
      </c>
      <c r="H213" s="27" t="s">
        <v>316</v>
      </c>
      <c r="I213" s="24" t="s">
        <v>371</v>
      </c>
      <c r="J213" s="27">
        <v>16</v>
      </c>
      <c r="K213" s="74" t="str">
        <f>VLOOKUP(J213,Ruimtegroepen[],2,FALSE)</f>
        <v>Leslokalen theorie</v>
      </c>
      <c r="L213" s="27" t="s">
        <v>114</v>
      </c>
      <c r="M213" s="27" t="s">
        <v>139</v>
      </c>
      <c r="N213" s="107">
        <v>56.8</v>
      </c>
      <c r="O213" s="107"/>
      <c r="P213" s="118" t="str">
        <f>LEFT(VLOOKUP(Ruimtestaat[[#This Row],[Ruimte code]],Ruimtegroepen[#All],4,1),2)</f>
        <v xml:space="preserve">L </v>
      </c>
      <c r="Q213" s="118"/>
      <c r="R213" s="108">
        <v>40</v>
      </c>
      <c r="S213" s="109" t="s">
        <v>18</v>
      </c>
      <c r="T213" s="110">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3" s="110">
        <f>IF(T213&gt;0,VLOOKUP($J213,Ruimtegroepen[],3,FALSE)*VLOOKUP($L213,Vloersoorten[],3,FALSE)*VLOOKUP($S213,Frequenties[],3,FALSE)*VLOOKUP($A213,Locaties[],3,FALSE),0)</f>
        <v>0</v>
      </c>
      <c r="V213" s="111">
        <f>Ruimtestaat[[#This Row],[Uitvoeringen werkdagen]]*Ruimtestaat[[#This Row],[Oppervlak (netto)]]</f>
        <v>6816</v>
      </c>
      <c r="W213" s="112">
        <f>IF(U213&gt;0,Ruimtestaat[[#This Row],[Prest. (m2 /jaar) werkdagen]]/Ruimtestaat[[#This Row],[Norm (m2/uur) werkdagen]],0)</f>
        <v>0</v>
      </c>
      <c r="X213" s="113">
        <f>Ruimtestaat[[#This Row],[uren / jaar werkdagen]]*Tariefsopbouw!$E$35</f>
        <v>0</v>
      </c>
      <c r="Y213" s="110"/>
      <c r="Z213" s="114">
        <f>IF(Ruimtestaat[[#This Row],[Frequentie weekend]]&gt;0,VALUE(LEFT(Y213,1))*R213,0)</f>
        <v>0</v>
      </c>
      <c r="AA213" s="110">
        <f>IF($Z213&gt;0,VLOOKUP($J213,Ruimtegroepen[],3,FALSE)*VLOOKUP($L213,Vloersoorten[],3,FALSE)*VLOOKUP($Y213,Frequenties[],3,FALSE)*VLOOKUP($A209,Locaties[],3,FALSE),0)</f>
        <v>0</v>
      </c>
      <c r="AB213" s="112">
        <f>Ruimtestaat[[#This Row],[Uitvoeringen weekend]]*Ruimtestaat[[#This Row],[Oppervlak (netto)]]</f>
        <v>0</v>
      </c>
      <c r="AC213" s="115">
        <f>IF(AB213&gt;0,Ruimtestaat[[#This Row],[Prest. (m2 /jaar) weekend]]/Ruimtestaat[[#This Row],[Norm (m2/uur) weekend]],0)</f>
        <v>0</v>
      </c>
      <c r="AD213" s="116">
        <f>Ruimtestaat[[#This Row],[uren / jaar weekend]]*Tariefsopbouw!$D$40</f>
        <v>0</v>
      </c>
      <c r="AE213" s="82">
        <f>Ruimtestaat[[#This Row],[Prest. (m2 /jaar) weekend]]+Ruimtestaat[[#This Row],[Prest. (m2 /jaar) werkdagen]]</f>
        <v>6816</v>
      </c>
      <c r="AF213" s="82">
        <f>Ruimtestaat[[#This Row],[uren / jaar weekend]]+Ruimtestaat[[#This Row],[uren / jaar werkdagen]]</f>
        <v>0</v>
      </c>
      <c r="AG213" s="83">
        <f>Ruimtestaat[[#This Row],[kosten / jaar weekend]]+Ruimtestaat[[#This Row],[kosten / jaar werkdagen]]</f>
        <v>0</v>
      </c>
      <c r="AH213" s="117"/>
      <c r="HL213" s="87"/>
    </row>
    <row r="214" spans="1:220" ht="15" customHeight="1">
      <c r="A214" s="136">
        <v>1</v>
      </c>
      <c r="B214" s="27" t="str">
        <f>VLOOKUP(Ruimtestaat[[#This Row],[Code]],Locaties[#All],2,FALSE)</f>
        <v>Amstelveen College</v>
      </c>
      <c r="C214" s="27" t="str">
        <f>VLOOKUP(Ruimtestaat[[#This Row],[Code]],Locaties[#All],4,FALSE)</f>
        <v>Sportlaan 27</v>
      </c>
      <c r="D214" s="27" t="str">
        <f>VLOOKUP(Ruimtestaat[[#This Row],[Code]],Locaties[#All],5,FALSE)</f>
        <v>1185 TB</v>
      </c>
      <c r="E214" s="27" t="str">
        <f>VLOOKUP(Ruimtestaat[[#This Row],[Code]],Locaties[#All],6,FALSE)</f>
        <v>Amstelveen</v>
      </c>
      <c r="F214" s="74"/>
      <c r="G214" s="27" t="s">
        <v>273</v>
      </c>
      <c r="H214" s="27" t="s">
        <v>317</v>
      </c>
      <c r="I214" s="24" t="s">
        <v>372</v>
      </c>
      <c r="J214" s="27">
        <v>20</v>
      </c>
      <c r="K214" s="74" t="str">
        <f>VLOOKUP(J214,Ruimtegroepen[],2,FALSE)</f>
        <v>Niet in onderhoud</v>
      </c>
      <c r="L214" s="27" t="s">
        <v>114</v>
      </c>
      <c r="M214" s="27" t="s">
        <v>139</v>
      </c>
      <c r="O214" s="107">
        <v>22.9</v>
      </c>
      <c r="P214" s="118" t="str">
        <f>LEFT(VLOOKUP(Ruimtestaat[[#This Row],[Ruimte code]],Ruimtegroepen[#All],4,1),2)</f>
        <v/>
      </c>
      <c r="Q214" s="118"/>
      <c r="R214" s="108">
        <v>0</v>
      </c>
      <c r="S214" s="109"/>
      <c r="T214" s="110">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14" s="110">
        <f>IF(T214&gt;0,VLOOKUP($J214,Ruimtegroepen[],3,FALSE)*VLOOKUP($L214,Vloersoorten[],3,FALSE)*VLOOKUP($S214,Frequenties[],3,FALSE)*VLOOKUP($A214,Locaties[],3,FALSE),0)</f>
        <v>0</v>
      </c>
      <c r="V214" s="111">
        <f>Ruimtestaat[[#This Row],[Uitvoeringen werkdagen]]*Ruimtestaat[[#This Row],[Oppervlak (netto)]]</f>
        <v>0</v>
      </c>
      <c r="W214" s="112">
        <f>IF(U214&gt;0,Ruimtestaat[[#This Row],[Prest. (m2 /jaar) werkdagen]]/Ruimtestaat[[#This Row],[Norm (m2/uur) werkdagen]],0)</f>
        <v>0</v>
      </c>
      <c r="X214" s="113">
        <f>Ruimtestaat[[#This Row],[uren / jaar werkdagen]]*Tariefsopbouw!$E$35</f>
        <v>0</v>
      </c>
      <c r="Y214" s="110"/>
      <c r="Z214" s="114">
        <f>IF(Ruimtestaat[[#This Row],[Frequentie weekend]]&gt;0,VALUE(LEFT(Y214,1))*R214,0)</f>
        <v>0</v>
      </c>
      <c r="AA214" s="110">
        <f>IF($Z214&gt;0,VLOOKUP($J214,Ruimtegroepen[],3,FALSE)*VLOOKUP($L214,Vloersoorten[],3,FALSE)*VLOOKUP($Y214,Frequenties[],3,FALSE)*VLOOKUP($A210,Locaties[],3,FALSE),0)</f>
        <v>0</v>
      </c>
      <c r="AB214" s="112">
        <f>Ruimtestaat[[#This Row],[Uitvoeringen weekend]]*Ruimtestaat[[#This Row],[Oppervlak (netto)]]</f>
        <v>0</v>
      </c>
      <c r="AC214" s="115">
        <f>IF(AB214&gt;0,Ruimtestaat[[#This Row],[Prest. (m2 /jaar) weekend]]/Ruimtestaat[[#This Row],[Norm (m2/uur) weekend]],0)</f>
        <v>0</v>
      </c>
      <c r="AD214" s="116">
        <f>Ruimtestaat[[#This Row],[uren / jaar weekend]]*Tariefsopbouw!$D$40</f>
        <v>0</v>
      </c>
      <c r="AE214" s="82">
        <f>Ruimtestaat[[#This Row],[Prest. (m2 /jaar) weekend]]+Ruimtestaat[[#This Row],[Prest. (m2 /jaar) werkdagen]]</f>
        <v>0</v>
      </c>
      <c r="AF214" s="82">
        <f>Ruimtestaat[[#This Row],[uren / jaar weekend]]+Ruimtestaat[[#This Row],[uren / jaar werkdagen]]</f>
        <v>0</v>
      </c>
      <c r="AG214" s="83">
        <f>Ruimtestaat[[#This Row],[kosten / jaar weekend]]+Ruimtestaat[[#This Row],[kosten / jaar werkdagen]]</f>
        <v>0</v>
      </c>
      <c r="AH214" s="117"/>
      <c r="HL214" s="87"/>
    </row>
    <row r="215" spans="1:220" ht="15" customHeight="1">
      <c r="A215" s="136">
        <v>1</v>
      </c>
      <c r="B215" s="27" t="str">
        <f>VLOOKUP(Ruimtestaat[[#This Row],[Code]],Locaties[#All],2,FALSE)</f>
        <v>Amstelveen College</v>
      </c>
      <c r="C215" s="27" t="str">
        <f>VLOOKUP(Ruimtestaat[[#This Row],[Code]],Locaties[#All],4,FALSE)</f>
        <v>Sportlaan 27</v>
      </c>
      <c r="D215" s="27" t="str">
        <f>VLOOKUP(Ruimtestaat[[#This Row],[Code]],Locaties[#All],5,FALSE)</f>
        <v>1185 TB</v>
      </c>
      <c r="E215" s="27" t="str">
        <f>VLOOKUP(Ruimtestaat[[#This Row],[Code]],Locaties[#All],6,FALSE)</f>
        <v>Amstelveen</v>
      </c>
      <c r="F215" s="74"/>
      <c r="G215" s="27" t="s">
        <v>273</v>
      </c>
      <c r="H215" s="27" t="s">
        <v>318</v>
      </c>
      <c r="I215" s="24" t="s">
        <v>376</v>
      </c>
      <c r="J215" s="27">
        <v>2</v>
      </c>
      <c r="K215" s="74" t="str">
        <f>VLOOKUP(J215,Ruimtegroepen[],2,FALSE)</f>
        <v>Kantoren</v>
      </c>
      <c r="L215" s="27" t="s">
        <v>113</v>
      </c>
      <c r="M215" s="27" t="s">
        <v>39</v>
      </c>
      <c r="N215" s="107">
        <v>42.6</v>
      </c>
      <c r="O215" s="107"/>
      <c r="P215" s="118" t="str">
        <f>LEFT(VLOOKUP(Ruimtestaat[[#This Row],[Ruimte code]],Ruimtegroepen[#All],4,1),2)</f>
        <v xml:space="preserve">B </v>
      </c>
      <c r="Q215" s="118"/>
      <c r="R215" s="108">
        <v>42</v>
      </c>
      <c r="S215" s="109" t="s">
        <v>15</v>
      </c>
      <c r="T215" s="110">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15" s="110">
        <f>IF(T215&gt;0,VLOOKUP($J215,Ruimtegroepen[],3,FALSE)*VLOOKUP($L215,Vloersoorten[],3,FALSE)*VLOOKUP($S215,Frequenties[],3,FALSE)*VLOOKUP($A215,Locaties[],3,FALSE),0)</f>
        <v>0</v>
      </c>
      <c r="V215" s="111">
        <f>Ruimtestaat[[#This Row],[Uitvoeringen werkdagen]]*Ruimtestaat[[#This Row],[Oppervlak (netto)]]</f>
        <v>1789.2</v>
      </c>
      <c r="W215" s="112">
        <f>IF(U215&gt;0,Ruimtestaat[[#This Row],[Prest. (m2 /jaar) werkdagen]]/Ruimtestaat[[#This Row],[Norm (m2/uur) werkdagen]],0)</f>
        <v>0</v>
      </c>
      <c r="X215" s="113">
        <f>Ruimtestaat[[#This Row],[uren / jaar werkdagen]]*Tariefsopbouw!$E$35</f>
        <v>0</v>
      </c>
      <c r="Y215" s="110"/>
      <c r="Z215" s="114">
        <f>IF(Ruimtestaat[[#This Row],[Frequentie weekend]]&gt;0,VALUE(LEFT(Y215,1))*R215,0)</f>
        <v>0</v>
      </c>
      <c r="AA215" s="110">
        <f>IF($Z215&gt;0,VLOOKUP($J215,Ruimtegroepen[],3,FALSE)*VLOOKUP($L215,Vloersoorten[],3,FALSE)*VLOOKUP($Y215,Frequenties[],3,FALSE)*VLOOKUP($A211,Locaties[],3,FALSE),0)</f>
        <v>0</v>
      </c>
      <c r="AB215" s="112">
        <f>Ruimtestaat[[#This Row],[Uitvoeringen weekend]]*Ruimtestaat[[#This Row],[Oppervlak (netto)]]</f>
        <v>0</v>
      </c>
      <c r="AC215" s="115">
        <f>IF(AB215&gt;0,Ruimtestaat[[#This Row],[Prest. (m2 /jaar) weekend]]/Ruimtestaat[[#This Row],[Norm (m2/uur) weekend]],0)</f>
        <v>0</v>
      </c>
      <c r="AD215" s="116">
        <f>Ruimtestaat[[#This Row],[uren / jaar weekend]]*Tariefsopbouw!$D$40</f>
        <v>0</v>
      </c>
      <c r="AE215" s="82">
        <f>Ruimtestaat[[#This Row],[Prest. (m2 /jaar) weekend]]+Ruimtestaat[[#This Row],[Prest. (m2 /jaar) werkdagen]]</f>
        <v>1789.2</v>
      </c>
      <c r="AF215" s="82">
        <f>Ruimtestaat[[#This Row],[uren / jaar weekend]]+Ruimtestaat[[#This Row],[uren / jaar werkdagen]]</f>
        <v>0</v>
      </c>
      <c r="AG215" s="83">
        <f>Ruimtestaat[[#This Row],[kosten / jaar weekend]]+Ruimtestaat[[#This Row],[kosten / jaar werkdagen]]</f>
        <v>0</v>
      </c>
      <c r="AH215" s="117"/>
      <c r="HL215" s="87"/>
    </row>
    <row r="216" spans="1:220" ht="15" customHeight="1">
      <c r="A216" s="136">
        <v>1</v>
      </c>
      <c r="B216" s="27" t="str">
        <f>VLOOKUP(Ruimtestaat[[#This Row],[Code]],Locaties[#All],2,FALSE)</f>
        <v>Amstelveen College</v>
      </c>
      <c r="C216" s="27" t="str">
        <f>VLOOKUP(Ruimtestaat[[#This Row],[Code]],Locaties[#All],4,FALSE)</f>
        <v>Sportlaan 27</v>
      </c>
      <c r="D216" s="27" t="str">
        <f>VLOOKUP(Ruimtestaat[[#This Row],[Code]],Locaties[#All],5,FALSE)</f>
        <v>1185 TB</v>
      </c>
      <c r="E216" s="27" t="str">
        <f>VLOOKUP(Ruimtestaat[[#This Row],[Code]],Locaties[#All],6,FALSE)</f>
        <v>Amstelveen</v>
      </c>
      <c r="F216" s="74"/>
      <c r="G216" s="27" t="s">
        <v>273</v>
      </c>
      <c r="H216" s="27" t="s">
        <v>319</v>
      </c>
      <c r="I216" s="24" t="s">
        <v>375</v>
      </c>
      <c r="J216" s="27">
        <v>2</v>
      </c>
      <c r="K216" s="74" t="str">
        <f>VLOOKUP(J216,Ruimtegroepen[],2,FALSE)</f>
        <v>Kantoren</v>
      </c>
      <c r="L216" s="27" t="s">
        <v>113</v>
      </c>
      <c r="M216" s="27" t="s">
        <v>39</v>
      </c>
      <c r="N216" s="107">
        <v>15.3</v>
      </c>
      <c r="O216" s="107"/>
      <c r="P216" s="118" t="str">
        <f>LEFT(VLOOKUP(Ruimtestaat[[#This Row],[Ruimte code]],Ruimtegroepen[#All],4,1),2)</f>
        <v xml:space="preserve">B </v>
      </c>
      <c r="Q216" s="118"/>
      <c r="R216" s="108">
        <v>42</v>
      </c>
      <c r="S216" s="109" t="s">
        <v>15</v>
      </c>
      <c r="T216" s="110">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16" s="110">
        <f>IF(T216&gt;0,VLOOKUP($J216,Ruimtegroepen[],3,FALSE)*VLOOKUP($L216,Vloersoorten[],3,FALSE)*VLOOKUP($S216,Frequenties[],3,FALSE)*VLOOKUP($A216,Locaties[],3,FALSE),0)</f>
        <v>0</v>
      </c>
      <c r="V216" s="111">
        <f>Ruimtestaat[[#This Row],[Uitvoeringen werkdagen]]*Ruimtestaat[[#This Row],[Oppervlak (netto)]]</f>
        <v>642.6</v>
      </c>
      <c r="W216" s="112">
        <f>IF(U216&gt;0,Ruimtestaat[[#This Row],[Prest. (m2 /jaar) werkdagen]]/Ruimtestaat[[#This Row],[Norm (m2/uur) werkdagen]],0)</f>
        <v>0</v>
      </c>
      <c r="X216" s="113">
        <f>Ruimtestaat[[#This Row],[uren / jaar werkdagen]]*Tariefsopbouw!$E$35</f>
        <v>0</v>
      </c>
      <c r="Y216" s="110"/>
      <c r="Z216" s="114">
        <f>IF(Ruimtestaat[[#This Row],[Frequentie weekend]]&gt;0,VALUE(LEFT(Y216,1))*R216,0)</f>
        <v>0</v>
      </c>
      <c r="AA216" s="110">
        <f>IF($Z216&gt;0,VLOOKUP($J216,Ruimtegroepen[],3,FALSE)*VLOOKUP($L216,Vloersoorten[],3,FALSE)*VLOOKUP($Y216,Frequenties[],3,FALSE)*VLOOKUP($A212,Locaties[],3,FALSE),0)</f>
        <v>0</v>
      </c>
      <c r="AB216" s="112">
        <f>Ruimtestaat[[#This Row],[Uitvoeringen weekend]]*Ruimtestaat[[#This Row],[Oppervlak (netto)]]</f>
        <v>0</v>
      </c>
      <c r="AC216" s="115">
        <f>IF(AB216&gt;0,Ruimtestaat[[#This Row],[Prest. (m2 /jaar) weekend]]/Ruimtestaat[[#This Row],[Norm (m2/uur) weekend]],0)</f>
        <v>0</v>
      </c>
      <c r="AD216" s="116">
        <f>Ruimtestaat[[#This Row],[uren / jaar weekend]]*Tariefsopbouw!$D$40</f>
        <v>0</v>
      </c>
      <c r="AE216" s="82">
        <f>Ruimtestaat[[#This Row],[Prest. (m2 /jaar) weekend]]+Ruimtestaat[[#This Row],[Prest. (m2 /jaar) werkdagen]]</f>
        <v>642.6</v>
      </c>
      <c r="AF216" s="82">
        <f>Ruimtestaat[[#This Row],[uren / jaar weekend]]+Ruimtestaat[[#This Row],[uren / jaar werkdagen]]</f>
        <v>0</v>
      </c>
      <c r="AG216" s="83">
        <f>Ruimtestaat[[#This Row],[kosten / jaar weekend]]+Ruimtestaat[[#This Row],[kosten / jaar werkdagen]]</f>
        <v>0</v>
      </c>
      <c r="AH216" s="117"/>
      <c r="HL216" s="87"/>
    </row>
    <row r="217" spans="1:220" ht="15" customHeight="1">
      <c r="A217" s="136">
        <v>1</v>
      </c>
      <c r="B217" s="27" t="str">
        <f>VLOOKUP(Ruimtestaat[[#This Row],[Code]],Locaties[#All],2,FALSE)</f>
        <v>Amstelveen College</v>
      </c>
      <c r="C217" s="27" t="str">
        <f>VLOOKUP(Ruimtestaat[[#This Row],[Code]],Locaties[#All],4,FALSE)</f>
        <v>Sportlaan 27</v>
      </c>
      <c r="D217" s="27" t="str">
        <f>VLOOKUP(Ruimtestaat[[#This Row],[Code]],Locaties[#All],5,FALSE)</f>
        <v>1185 TB</v>
      </c>
      <c r="E217" s="27" t="str">
        <f>VLOOKUP(Ruimtestaat[[#This Row],[Code]],Locaties[#All],6,FALSE)</f>
        <v>Amstelveen</v>
      </c>
      <c r="F217" s="74"/>
      <c r="G217" s="27" t="s">
        <v>273</v>
      </c>
      <c r="H217" s="27" t="s">
        <v>320</v>
      </c>
      <c r="I217" s="24" t="s">
        <v>373</v>
      </c>
      <c r="J217" s="27">
        <v>6</v>
      </c>
      <c r="K217" s="74" t="str">
        <f>VLOOKUP(J217,Ruimtegroepen[],2,FALSE)</f>
        <v>Gangen/hallen</v>
      </c>
      <c r="L217" s="27" t="s">
        <v>113</v>
      </c>
      <c r="M217" s="27" t="s">
        <v>39</v>
      </c>
      <c r="N217" s="107">
        <v>8.1</v>
      </c>
      <c r="O217" s="107"/>
      <c r="P217" s="118" t="str">
        <f>LEFT(VLOOKUP(Ruimtestaat[[#This Row],[Ruimte code]],Ruimtegroepen[#All],4,1),2)</f>
        <v xml:space="preserve">V </v>
      </c>
      <c r="Q217" s="118"/>
      <c r="R217" s="108">
        <v>42</v>
      </c>
      <c r="S217" s="109" t="s">
        <v>2</v>
      </c>
      <c r="T217" s="110">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17" s="110">
        <f>IF(T217&gt;0,VLOOKUP($J217,Ruimtegroepen[],3,FALSE)*VLOOKUP($L217,Vloersoorten[],3,FALSE)*VLOOKUP($S217,Frequenties[],3,FALSE)*VLOOKUP($A217,Locaties[],3,FALSE),0)</f>
        <v>0</v>
      </c>
      <c r="V217" s="111">
        <f>Ruimtestaat[[#This Row],[Uitvoeringen werkdagen]]*Ruimtestaat[[#This Row],[Oppervlak (netto)]]</f>
        <v>1701</v>
      </c>
      <c r="W217" s="112">
        <f>IF(U217&gt;0,Ruimtestaat[[#This Row],[Prest. (m2 /jaar) werkdagen]]/Ruimtestaat[[#This Row],[Norm (m2/uur) werkdagen]],0)</f>
        <v>0</v>
      </c>
      <c r="X217" s="113">
        <f>Ruimtestaat[[#This Row],[uren / jaar werkdagen]]*Tariefsopbouw!$E$35</f>
        <v>0</v>
      </c>
      <c r="Y217" s="110"/>
      <c r="Z217" s="114">
        <f>IF(Ruimtestaat[[#This Row],[Frequentie weekend]]&gt;0,VALUE(LEFT(Y217,1))*R217,0)</f>
        <v>0</v>
      </c>
      <c r="AA217" s="110">
        <f>IF($Z217&gt;0,VLOOKUP($J217,Ruimtegroepen[],3,FALSE)*VLOOKUP($L217,Vloersoorten[],3,FALSE)*VLOOKUP($Y217,Frequenties[],3,FALSE)*VLOOKUP($A213,Locaties[],3,FALSE),0)</f>
        <v>0</v>
      </c>
      <c r="AB217" s="112">
        <f>Ruimtestaat[[#This Row],[Uitvoeringen weekend]]*Ruimtestaat[[#This Row],[Oppervlak (netto)]]</f>
        <v>0</v>
      </c>
      <c r="AC217" s="115">
        <f>IF(AB217&gt;0,Ruimtestaat[[#This Row],[Prest. (m2 /jaar) weekend]]/Ruimtestaat[[#This Row],[Norm (m2/uur) weekend]],0)</f>
        <v>0</v>
      </c>
      <c r="AD217" s="116">
        <f>Ruimtestaat[[#This Row],[uren / jaar weekend]]*Tariefsopbouw!$D$40</f>
        <v>0</v>
      </c>
      <c r="AE217" s="82">
        <f>Ruimtestaat[[#This Row],[Prest. (m2 /jaar) weekend]]+Ruimtestaat[[#This Row],[Prest. (m2 /jaar) werkdagen]]</f>
        <v>1701</v>
      </c>
      <c r="AF217" s="82">
        <f>Ruimtestaat[[#This Row],[uren / jaar weekend]]+Ruimtestaat[[#This Row],[uren / jaar werkdagen]]</f>
        <v>0</v>
      </c>
      <c r="AG217" s="83">
        <f>Ruimtestaat[[#This Row],[kosten / jaar weekend]]+Ruimtestaat[[#This Row],[kosten / jaar werkdagen]]</f>
        <v>0</v>
      </c>
      <c r="AH217" s="117"/>
      <c r="HL217" s="87"/>
    </row>
    <row r="218" spans="1:220" ht="15" customHeight="1">
      <c r="A218" s="136">
        <v>1</v>
      </c>
      <c r="B218" s="27" t="str">
        <f>VLOOKUP(Ruimtestaat[[#This Row],[Code]],Locaties[#All],2,FALSE)</f>
        <v>Amstelveen College</v>
      </c>
      <c r="C218" s="27" t="str">
        <f>VLOOKUP(Ruimtestaat[[#This Row],[Code]],Locaties[#All],4,FALSE)</f>
        <v>Sportlaan 27</v>
      </c>
      <c r="D218" s="27" t="str">
        <f>VLOOKUP(Ruimtestaat[[#This Row],[Code]],Locaties[#All],5,FALSE)</f>
        <v>1185 TB</v>
      </c>
      <c r="E218" s="27" t="str">
        <f>VLOOKUP(Ruimtestaat[[#This Row],[Code]],Locaties[#All],6,FALSE)</f>
        <v>Amstelveen</v>
      </c>
      <c r="F218" s="74"/>
      <c r="G218" s="27" t="s">
        <v>273</v>
      </c>
      <c r="H218" s="27" t="s">
        <v>321</v>
      </c>
      <c r="I218" s="24" t="s">
        <v>371</v>
      </c>
      <c r="J218" s="27">
        <v>16</v>
      </c>
      <c r="K218" s="74" t="str">
        <f>VLOOKUP(J218,Ruimtegroepen[],2,FALSE)</f>
        <v>Leslokalen theorie</v>
      </c>
      <c r="L218" s="27" t="s">
        <v>114</v>
      </c>
      <c r="M218" s="27" t="s">
        <v>139</v>
      </c>
      <c r="N218" s="107">
        <v>58.6</v>
      </c>
      <c r="O218" s="107"/>
      <c r="P218" s="118" t="str">
        <f>LEFT(VLOOKUP(Ruimtestaat[[#This Row],[Ruimte code]],Ruimtegroepen[#All],4,1),2)</f>
        <v xml:space="preserve">L </v>
      </c>
      <c r="Q218" s="118"/>
      <c r="R218" s="108">
        <v>40</v>
      </c>
      <c r="S218" s="109" t="s">
        <v>18</v>
      </c>
      <c r="T218" s="110">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8" s="110">
        <f>IF(T218&gt;0,VLOOKUP($J218,Ruimtegroepen[],3,FALSE)*VLOOKUP($L218,Vloersoorten[],3,FALSE)*VLOOKUP($S218,Frequenties[],3,FALSE)*VLOOKUP($A218,Locaties[],3,FALSE),0)</f>
        <v>0</v>
      </c>
      <c r="V218" s="111">
        <f>Ruimtestaat[[#This Row],[Uitvoeringen werkdagen]]*Ruimtestaat[[#This Row],[Oppervlak (netto)]]</f>
        <v>7032</v>
      </c>
      <c r="W218" s="112">
        <f>IF(U218&gt;0,Ruimtestaat[[#This Row],[Prest. (m2 /jaar) werkdagen]]/Ruimtestaat[[#This Row],[Norm (m2/uur) werkdagen]],0)</f>
        <v>0</v>
      </c>
      <c r="X218" s="113">
        <f>Ruimtestaat[[#This Row],[uren / jaar werkdagen]]*Tariefsopbouw!$E$35</f>
        <v>0</v>
      </c>
      <c r="Y218" s="110"/>
      <c r="Z218" s="114">
        <f>IF(Ruimtestaat[[#This Row],[Frequentie weekend]]&gt;0,VALUE(LEFT(Y218,1))*R218,0)</f>
        <v>0</v>
      </c>
      <c r="AA218" s="110">
        <f>IF($Z218&gt;0,VLOOKUP($J218,Ruimtegroepen[],3,FALSE)*VLOOKUP($L218,Vloersoorten[],3,FALSE)*VLOOKUP($Y218,Frequenties[],3,FALSE)*VLOOKUP($A214,Locaties[],3,FALSE),0)</f>
        <v>0</v>
      </c>
      <c r="AB218" s="112">
        <f>Ruimtestaat[[#This Row],[Uitvoeringen weekend]]*Ruimtestaat[[#This Row],[Oppervlak (netto)]]</f>
        <v>0</v>
      </c>
      <c r="AC218" s="115">
        <f>IF(AB218&gt;0,Ruimtestaat[[#This Row],[Prest. (m2 /jaar) weekend]]/Ruimtestaat[[#This Row],[Norm (m2/uur) weekend]],0)</f>
        <v>0</v>
      </c>
      <c r="AD218" s="116">
        <f>Ruimtestaat[[#This Row],[uren / jaar weekend]]*Tariefsopbouw!$D$40</f>
        <v>0</v>
      </c>
      <c r="AE218" s="82">
        <f>Ruimtestaat[[#This Row],[Prest. (m2 /jaar) weekend]]+Ruimtestaat[[#This Row],[Prest. (m2 /jaar) werkdagen]]</f>
        <v>7032</v>
      </c>
      <c r="AF218" s="82">
        <f>Ruimtestaat[[#This Row],[uren / jaar weekend]]+Ruimtestaat[[#This Row],[uren / jaar werkdagen]]</f>
        <v>0</v>
      </c>
      <c r="AG218" s="83">
        <f>Ruimtestaat[[#This Row],[kosten / jaar weekend]]+Ruimtestaat[[#This Row],[kosten / jaar werkdagen]]</f>
        <v>0</v>
      </c>
      <c r="AH218" s="117"/>
      <c r="HL218" s="87"/>
    </row>
    <row r="219" spans="1:220" ht="15" customHeight="1">
      <c r="A219" s="136">
        <v>1</v>
      </c>
      <c r="B219" s="27" t="str">
        <f>VLOOKUP(Ruimtestaat[[#This Row],[Code]],Locaties[#All],2,FALSE)</f>
        <v>Amstelveen College</v>
      </c>
      <c r="C219" s="27" t="str">
        <f>VLOOKUP(Ruimtestaat[[#This Row],[Code]],Locaties[#All],4,FALSE)</f>
        <v>Sportlaan 27</v>
      </c>
      <c r="D219" s="27" t="str">
        <f>VLOOKUP(Ruimtestaat[[#This Row],[Code]],Locaties[#All],5,FALSE)</f>
        <v>1185 TB</v>
      </c>
      <c r="E219" s="27" t="str">
        <f>VLOOKUP(Ruimtestaat[[#This Row],[Code]],Locaties[#All],6,FALSE)</f>
        <v>Amstelveen</v>
      </c>
      <c r="F219" s="74"/>
      <c r="G219" s="27" t="s">
        <v>273</v>
      </c>
      <c r="H219" s="27" t="s">
        <v>322</v>
      </c>
      <c r="I219" s="24" t="s">
        <v>455</v>
      </c>
      <c r="J219" s="27">
        <v>6</v>
      </c>
      <c r="K219" s="74" t="str">
        <f>VLOOKUP(J219,Ruimtegroepen[],2,FALSE)</f>
        <v>Gangen/hallen</v>
      </c>
      <c r="L219" s="27" t="s">
        <v>114</v>
      </c>
      <c r="M219" s="27" t="s">
        <v>139</v>
      </c>
      <c r="N219" s="107">
        <v>94.5</v>
      </c>
      <c r="O219" s="107"/>
      <c r="P219" s="118" t="str">
        <f>LEFT(VLOOKUP(Ruimtestaat[[#This Row],[Ruimte code]],Ruimtegroepen[#All],4,1),2)</f>
        <v xml:space="preserve">V </v>
      </c>
      <c r="Q219" s="118"/>
      <c r="R219" s="108">
        <v>42</v>
      </c>
      <c r="S219" s="109" t="s">
        <v>2</v>
      </c>
      <c r="T219" s="110">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19" s="110">
        <f>IF(T219&gt;0,VLOOKUP($J219,Ruimtegroepen[],3,FALSE)*VLOOKUP($L219,Vloersoorten[],3,FALSE)*VLOOKUP($S219,Frequenties[],3,FALSE)*VLOOKUP($A219,Locaties[],3,FALSE),0)</f>
        <v>0</v>
      </c>
      <c r="V219" s="111">
        <f>Ruimtestaat[[#This Row],[Uitvoeringen werkdagen]]*Ruimtestaat[[#This Row],[Oppervlak (netto)]]</f>
        <v>19845</v>
      </c>
      <c r="W219" s="112">
        <f>IF(U219&gt;0,Ruimtestaat[[#This Row],[Prest. (m2 /jaar) werkdagen]]/Ruimtestaat[[#This Row],[Norm (m2/uur) werkdagen]],0)</f>
        <v>0</v>
      </c>
      <c r="X219" s="113">
        <f>Ruimtestaat[[#This Row],[uren / jaar werkdagen]]*Tariefsopbouw!$E$35</f>
        <v>0</v>
      </c>
      <c r="Y219" s="110"/>
      <c r="Z219" s="114">
        <f>IF(Ruimtestaat[[#This Row],[Frequentie weekend]]&gt;0,VALUE(LEFT(Y219,1))*R219,0)</f>
        <v>0</v>
      </c>
      <c r="AA219" s="110">
        <f>IF($Z219&gt;0,VLOOKUP($J219,Ruimtegroepen[],3,FALSE)*VLOOKUP($L219,Vloersoorten[],3,FALSE)*VLOOKUP($Y219,Frequenties[],3,FALSE)*VLOOKUP($A215,Locaties[],3,FALSE),0)</f>
        <v>0</v>
      </c>
      <c r="AB219" s="112">
        <f>Ruimtestaat[[#This Row],[Uitvoeringen weekend]]*Ruimtestaat[[#This Row],[Oppervlak (netto)]]</f>
        <v>0</v>
      </c>
      <c r="AC219" s="115">
        <f>IF(AB219&gt;0,Ruimtestaat[[#This Row],[Prest. (m2 /jaar) weekend]]/Ruimtestaat[[#This Row],[Norm (m2/uur) weekend]],0)</f>
        <v>0</v>
      </c>
      <c r="AD219" s="116">
        <f>Ruimtestaat[[#This Row],[uren / jaar weekend]]*Tariefsopbouw!$D$40</f>
        <v>0</v>
      </c>
      <c r="AE219" s="82">
        <f>Ruimtestaat[[#This Row],[Prest. (m2 /jaar) weekend]]+Ruimtestaat[[#This Row],[Prest. (m2 /jaar) werkdagen]]</f>
        <v>19845</v>
      </c>
      <c r="AF219" s="82">
        <f>Ruimtestaat[[#This Row],[uren / jaar weekend]]+Ruimtestaat[[#This Row],[uren / jaar werkdagen]]</f>
        <v>0</v>
      </c>
      <c r="AG219" s="83">
        <f>Ruimtestaat[[#This Row],[kosten / jaar weekend]]+Ruimtestaat[[#This Row],[kosten / jaar werkdagen]]</f>
        <v>0</v>
      </c>
      <c r="AH219" s="117"/>
      <c r="HL219" s="87"/>
    </row>
    <row r="220" spans="1:220" ht="15" customHeight="1">
      <c r="A220" s="136">
        <v>1</v>
      </c>
      <c r="B220" s="27" t="str">
        <f>VLOOKUP(Ruimtestaat[[#This Row],[Code]],Locaties[#All],2,FALSE)</f>
        <v>Amstelveen College</v>
      </c>
      <c r="C220" s="27" t="str">
        <f>VLOOKUP(Ruimtestaat[[#This Row],[Code]],Locaties[#All],4,FALSE)</f>
        <v>Sportlaan 27</v>
      </c>
      <c r="D220" s="27" t="str">
        <f>VLOOKUP(Ruimtestaat[[#This Row],[Code]],Locaties[#All],5,FALSE)</f>
        <v>1185 TB</v>
      </c>
      <c r="E220" s="27" t="str">
        <f>VLOOKUP(Ruimtestaat[[#This Row],[Code]],Locaties[#All],6,FALSE)</f>
        <v>Amstelveen</v>
      </c>
      <c r="F220" s="74"/>
      <c r="G220" s="27" t="s">
        <v>274</v>
      </c>
      <c r="H220" s="27" t="s">
        <v>325</v>
      </c>
      <c r="I220" s="24" t="s">
        <v>371</v>
      </c>
      <c r="J220" s="27">
        <v>16</v>
      </c>
      <c r="K220" s="74" t="str">
        <f>VLOOKUP(J220,Ruimtegroepen[],2,FALSE)</f>
        <v>Leslokalen theorie</v>
      </c>
      <c r="L220" s="27" t="s">
        <v>114</v>
      </c>
      <c r="M220" s="27" t="s">
        <v>139</v>
      </c>
      <c r="N220" s="107">
        <v>56.5</v>
      </c>
      <c r="O220" s="107"/>
      <c r="P220" s="118" t="str">
        <f>LEFT(VLOOKUP(Ruimtestaat[[#This Row],[Ruimte code]],Ruimtegroepen[#All],4,1),2)</f>
        <v xml:space="preserve">L </v>
      </c>
      <c r="Q220" s="118"/>
      <c r="R220" s="108">
        <v>40</v>
      </c>
      <c r="S220" s="109" t="s">
        <v>18</v>
      </c>
      <c r="T220" s="110">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0" s="110">
        <f>IF(T220&gt;0,VLOOKUP($J220,Ruimtegroepen[],3,FALSE)*VLOOKUP($L220,Vloersoorten[],3,FALSE)*VLOOKUP($S220,Frequenties[],3,FALSE)*VLOOKUP($A220,Locaties[],3,FALSE),0)</f>
        <v>0</v>
      </c>
      <c r="V220" s="111">
        <f>Ruimtestaat[[#This Row],[Uitvoeringen werkdagen]]*Ruimtestaat[[#This Row],[Oppervlak (netto)]]</f>
        <v>6780</v>
      </c>
      <c r="W220" s="112">
        <f>IF(U220&gt;0,Ruimtestaat[[#This Row],[Prest. (m2 /jaar) werkdagen]]/Ruimtestaat[[#This Row],[Norm (m2/uur) werkdagen]],0)</f>
        <v>0</v>
      </c>
      <c r="X220" s="113">
        <f>Ruimtestaat[[#This Row],[uren / jaar werkdagen]]*Tariefsopbouw!$E$35</f>
        <v>0</v>
      </c>
      <c r="Y220" s="110"/>
      <c r="Z220" s="114">
        <f>IF(Ruimtestaat[[#This Row],[Frequentie weekend]]&gt;0,VALUE(LEFT(Y220,1))*R220,0)</f>
        <v>0</v>
      </c>
      <c r="AA220" s="110">
        <f>IF($Z220&gt;0,VLOOKUP($J220,Ruimtegroepen[],3,FALSE)*VLOOKUP($L220,Vloersoorten[],3,FALSE)*VLOOKUP($Y220,Frequenties[],3,FALSE)*VLOOKUP($A216,Locaties[],3,FALSE),0)</f>
        <v>0</v>
      </c>
      <c r="AB220" s="112">
        <f>Ruimtestaat[[#This Row],[Uitvoeringen weekend]]*Ruimtestaat[[#This Row],[Oppervlak (netto)]]</f>
        <v>0</v>
      </c>
      <c r="AC220" s="115">
        <f>IF(AB220&gt;0,Ruimtestaat[[#This Row],[Prest. (m2 /jaar) weekend]]/Ruimtestaat[[#This Row],[Norm (m2/uur) weekend]],0)</f>
        <v>0</v>
      </c>
      <c r="AD220" s="116">
        <f>Ruimtestaat[[#This Row],[uren / jaar weekend]]*Tariefsopbouw!$D$40</f>
        <v>0</v>
      </c>
      <c r="AE220" s="82">
        <f>Ruimtestaat[[#This Row],[Prest. (m2 /jaar) weekend]]+Ruimtestaat[[#This Row],[Prest. (m2 /jaar) werkdagen]]</f>
        <v>6780</v>
      </c>
      <c r="AF220" s="82">
        <f>Ruimtestaat[[#This Row],[uren / jaar weekend]]+Ruimtestaat[[#This Row],[uren / jaar werkdagen]]</f>
        <v>0</v>
      </c>
      <c r="AG220" s="83">
        <f>Ruimtestaat[[#This Row],[kosten / jaar weekend]]+Ruimtestaat[[#This Row],[kosten / jaar werkdagen]]</f>
        <v>0</v>
      </c>
      <c r="AH220" s="117"/>
      <c r="HL220" s="87"/>
    </row>
    <row r="221" spans="1:220" ht="15" customHeight="1">
      <c r="A221" s="136">
        <v>1</v>
      </c>
      <c r="B221" s="27" t="str">
        <f>VLOOKUP(Ruimtestaat[[#This Row],[Code]],Locaties[#All],2,FALSE)</f>
        <v>Amstelveen College</v>
      </c>
      <c r="C221" s="27" t="str">
        <f>VLOOKUP(Ruimtestaat[[#This Row],[Code]],Locaties[#All],4,FALSE)</f>
        <v>Sportlaan 27</v>
      </c>
      <c r="D221" s="27" t="str">
        <f>VLOOKUP(Ruimtestaat[[#This Row],[Code]],Locaties[#All],5,FALSE)</f>
        <v>1185 TB</v>
      </c>
      <c r="E221" s="27" t="str">
        <f>VLOOKUP(Ruimtestaat[[#This Row],[Code]],Locaties[#All],6,FALSE)</f>
        <v>Amstelveen</v>
      </c>
      <c r="F221" s="74"/>
      <c r="G221" s="27" t="s">
        <v>274</v>
      </c>
      <c r="H221" s="27" t="s">
        <v>326</v>
      </c>
      <c r="I221" s="24" t="s">
        <v>371</v>
      </c>
      <c r="J221" s="27">
        <v>16</v>
      </c>
      <c r="K221" s="74" t="str">
        <f>VLOOKUP(J221,Ruimtegroepen[],2,FALSE)</f>
        <v>Leslokalen theorie</v>
      </c>
      <c r="L221" s="27" t="s">
        <v>114</v>
      </c>
      <c r="M221" s="27" t="s">
        <v>139</v>
      </c>
      <c r="N221" s="107">
        <v>56.5</v>
      </c>
      <c r="O221" s="107"/>
      <c r="P221" s="118" t="str">
        <f>LEFT(VLOOKUP(Ruimtestaat[[#This Row],[Ruimte code]],Ruimtegroepen[#All],4,1),2)</f>
        <v xml:space="preserve">L </v>
      </c>
      <c r="Q221" s="118"/>
      <c r="R221" s="108">
        <v>40</v>
      </c>
      <c r="S221" s="109" t="s">
        <v>18</v>
      </c>
      <c r="T221" s="110">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1" s="110">
        <f>IF(T221&gt;0,VLOOKUP($J221,Ruimtegroepen[],3,FALSE)*VLOOKUP($L221,Vloersoorten[],3,FALSE)*VLOOKUP($S221,Frequenties[],3,FALSE)*VLOOKUP($A221,Locaties[],3,FALSE),0)</f>
        <v>0</v>
      </c>
      <c r="V221" s="111">
        <f>Ruimtestaat[[#This Row],[Uitvoeringen werkdagen]]*Ruimtestaat[[#This Row],[Oppervlak (netto)]]</f>
        <v>6780</v>
      </c>
      <c r="W221" s="112">
        <f>IF(U221&gt;0,Ruimtestaat[[#This Row],[Prest. (m2 /jaar) werkdagen]]/Ruimtestaat[[#This Row],[Norm (m2/uur) werkdagen]],0)</f>
        <v>0</v>
      </c>
      <c r="X221" s="113">
        <f>Ruimtestaat[[#This Row],[uren / jaar werkdagen]]*Tariefsopbouw!$E$35</f>
        <v>0</v>
      </c>
      <c r="Y221" s="110"/>
      <c r="Z221" s="114">
        <f>IF(Ruimtestaat[[#This Row],[Frequentie weekend]]&gt;0,VALUE(LEFT(Y221,1))*R221,0)</f>
        <v>0</v>
      </c>
      <c r="AA221" s="110">
        <f>IF($Z221&gt;0,VLOOKUP($J221,Ruimtegroepen[],3,FALSE)*VLOOKUP($L221,Vloersoorten[],3,FALSE)*VLOOKUP($Y221,Frequenties[],3,FALSE)*VLOOKUP($A217,Locaties[],3,FALSE),0)</f>
        <v>0</v>
      </c>
      <c r="AB221" s="112">
        <f>Ruimtestaat[[#This Row],[Uitvoeringen weekend]]*Ruimtestaat[[#This Row],[Oppervlak (netto)]]</f>
        <v>0</v>
      </c>
      <c r="AC221" s="115">
        <f>IF(AB221&gt;0,Ruimtestaat[[#This Row],[Prest. (m2 /jaar) weekend]]/Ruimtestaat[[#This Row],[Norm (m2/uur) weekend]],0)</f>
        <v>0</v>
      </c>
      <c r="AD221" s="116">
        <f>Ruimtestaat[[#This Row],[uren / jaar weekend]]*Tariefsopbouw!$D$40</f>
        <v>0</v>
      </c>
      <c r="AE221" s="82">
        <f>Ruimtestaat[[#This Row],[Prest. (m2 /jaar) weekend]]+Ruimtestaat[[#This Row],[Prest. (m2 /jaar) werkdagen]]</f>
        <v>6780</v>
      </c>
      <c r="AF221" s="82">
        <f>Ruimtestaat[[#This Row],[uren / jaar weekend]]+Ruimtestaat[[#This Row],[uren / jaar werkdagen]]</f>
        <v>0</v>
      </c>
      <c r="AG221" s="83">
        <f>Ruimtestaat[[#This Row],[kosten / jaar weekend]]+Ruimtestaat[[#This Row],[kosten / jaar werkdagen]]</f>
        <v>0</v>
      </c>
      <c r="AH221" s="117"/>
      <c r="HL221" s="87"/>
    </row>
    <row r="222" spans="1:220" ht="15" customHeight="1">
      <c r="A222" s="136">
        <v>1</v>
      </c>
      <c r="B222" s="27" t="str">
        <f>VLOOKUP(Ruimtestaat[[#This Row],[Code]],Locaties[#All],2,FALSE)</f>
        <v>Amstelveen College</v>
      </c>
      <c r="C222" s="27" t="str">
        <f>VLOOKUP(Ruimtestaat[[#This Row],[Code]],Locaties[#All],4,FALSE)</f>
        <v>Sportlaan 27</v>
      </c>
      <c r="D222" s="27" t="str">
        <f>VLOOKUP(Ruimtestaat[[#This Row],[Code]],Locaties[#All],5,FALSE)</f>
        <v>1185 TB</v>
      </c>
      <c r="E222" s="27" t="str">
        <f>VLOOKUP(Ruimtestaat[[#This Row],[Code]],Locaties[#All],6,FALSE)</f>
        <v>Amstelveen</v>
      </c>
      <c r="F222" s="74"/>
      <c r="G222" s="27" t="s">
        <v>274</v>
      </c>
      <c r="H222" s="27" t="s">
        <v>327</v>
      </c>
      <c r="I222" s="24" t="s">
        <v>371</v>
      </c>
      <c r="J222" s="27">
        <v>16</v>
      </c>
      <c r="K222" s="74" t="str">
        <f>VLOOKUP(J222,Ruimtegroepen[],2,FALSE)</f>
        <v>Leslokalen theorie</v>
      </c>
      <c r="L222" s="27" t="s">
        <v>114</v>
      </c>
      <c r="M222" s="27" t="s">
        <v>139</v>
      </c>
      <c r="N222" s="107">
        <v>56.5</v>
      </c>
      <c r="O222" s="107"/>
      <c r="P222" s="118" t="str">
        <f>LEFT(VLOOKUP(Ruimtestaat[[#This Row],[Ruimte code]],Ruimtegroepen[#All],4,1),2)</f>
        <v xml:space="preserve">L </v>
      </c>
      <c r="Q222" s="118"/>
      <c r="R222" s="108">
        <v>40</v>
      </c>
      <c r="S222" s="109" t="s">
        <v>18</v>
      </c>
      <c r="T222" s="110">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2" s="110">
        <f>IF(T222&gt;0,VLOOKUP($J222,Ruimtegroepen[],3,FALSE)*VLOOKUP($L222,Vloersoorten[],3,FALSE)*VLOOKUP($S222,Frequenties[],3,FALSE)*VLOOKUP($A222,Locaties[],3,FALSE),0)</f>
        <v>0</v>
      </c>
      <c r="V222" s="111">
        <f>Ruimtestaat[[#This Row],[Uitvoeringen werkdagen]]*Ruimtestaat[[#This Row],[Oppervlak (netto)]]</f>
        <v>6780</v>
      </c>
      <c r="W222" s="112">
        <f>IF(U222&gt;0,Ruimtestaat[[#This Row],[Prest. (m2 /jaar) werkdagen]]/Ruimtestaat[[#This Row],[Norm (m2/uur) werkdagen]],0)</f>
        <v>0</v>
      </c>
      <c r="X222" s="113">
        <f>Ruimtestaat[[#This Row],[uren / jaar werkdagen]]*Tariefsopbouw!$E$35</f>
        <v>0</v>
      </c>
      <c r="Y222" s="110"/>
      <c r="Z222" s="114">
        <f>IF(Ruimtestaat[[#This Row],[Frequentie weekend]]&gt;0,VALUE(LEFT(Y222,1))*R222,0)</f>
        <v>0</v>
      </c>
      <c r="AA222" s="110">
        <f>IF($Z222&gt;0,VLOOKUP($J222,Ruimtegroepen[],3,FALSE)*VLOOKUP($L222,Vloersoorten[],3,FALSE)*VLOOKUP($Y222,Frequenties[],3,FALSE)*VLOOKUP($A218,Locaties[],3,FALSE),0)</f>
        <v>0</v>
      </c>
      <c r="AB222" s="112">
        <f>Ruimtestaat[[#This Row],[Uitvoeringen weekend]]*Ruimtestaat[[#This Row],[Oppervlak (netto)]]</f>
        <v>0</v>
      </c>
      <c r="AC222" s="115">
        <f>IF(AB222&gt;0,Ruimtestaat[[#This Row],[Prest. (m2 /jaar) weekend]]/Ruimtestaat[[#This Row],[Norm (m2/uur) weekend]],0)</f>
        <v>0</v>
      </c>
      <c r="AD222" s="116">
        <f>Ruimtestaat[[#This Row],[uren / jaar weekend]]*Tariefsopbouw!$D$40</f>
        <v>0</v>
      </c>
      <c r="AE222" s="82">
        <f>Ruimtestaat[[#This Row],[Prest. (m2 /jaar) weekend]]+Ruimtestaat[[#This Row],[Prest. (m2 /jaar) werkdagen]]</f>
        <v>6780</v>
      </c>
      <c r="AF222" s="82">
        <f>Ruimtestaat[[#This Row],[uren / jaar weekend]]+Ruimtestaat[[#This Row],[uren / jaar werkdagen]]</f>
        <v>0</v>
      </c>
      <c r="AG222" s="83">
        <f>Ruimtestaat[[#This Row],[kosten / jaar weekend]]+Ruimtestaat[[#This Row],[kosten / jaar werkdagen]]</f>
        <v>0</v>
      </c>
      <c r="AH222" s="117"/>
      <c r="HL222" s="87"/>
    </row>
    <row r="223" spans="1:220" ht="15" customHeight="1">
      <c r="A223" s="136">
        <v>1</v>
      </c>
      <c r="B223" s="27" t="str">
        <f>VLOOKUP(Ruimtestaat[[#This Row],[Code]],Locaties[#All],2,FALSE)</f>
        <v>Amstelveen College</v>
      </c>
      <c r="C223" s="27" t="str">
        <f>VLOOKUP(Ruimtestaat[[#This Row],[Code]],Locaties[#All],4,FALSE)</f>
        <v>Sportlaan 27</v>
      </c>
      <c r="D223" s="27" t="str">
        <f>VLOOKUP(Ruimtestaat[[#This Row],[Code]],Locaties[#All],5,FALSE)</f>
        <v>1185 TB</v>
      </c>
      <c r="E223" s="27" t="str">
        <f>VLOOKUP(Ruimtestaat[[#This Row],[Code]],Locaties[#All],6,FALSE)</f>
        <v>Amstelveen</v>
      </c>
      <c r="F223" s="74"/>
      <c r="G223" s="27" t="s">
        <v>274</v>
      </c>
      <c r="H223" s="27" t="s">
        <v>328</v>
      </c>
      <c r="I223" s="24" t="s">
        <v>371</v>
      </c>
      <c r="J223" s="27">
        <v>16</v>
      </c>
      <c r="K223" s="74" t="str">
        <f>VLOOKUP(J223,Ruimtegroepen[],2,FALSE)</f>
        <v>Leslokalen theorie</v>
      </c>
      <c r="L223" s="27" t="s">
        <v>114</v>
      </c>
      <c r="M223" s="27" t="s">
        <v>139</v>
      </c>
      <c r="N223" s="107">
        <v>55.3</v>
      </c>
      <c r="O223" s="107"/>
      <c r="P223" s="118" t="str">
        <f>LEFT(VLOOKUP(Ruimtestaat[[#This Row],[Ruimte code]],Ruimtegroepen[#All],4,1),2)</f>
        <v xml:space="preserve">L </v>
      </c>
      <c r="Q223" s="118"/>
      <c r="R223" s="108">
        <v>40</v>
      </c>
      <c r="S223" s="109" t="s">
        <v>18</v>
      </c>
      <c r="T223" s="110">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3" s="110">
        <f>IF(T223&gt;0,VLOOKUP($J223,Ruimtegroepen[],3,FALSE)*VLOOKUP($L223,Vloersoorten[],3,FALSE)*VLOOKUP($S223,Frequenties[],3,FALSE)*VLOOKUP($A223,Locaties[],3,FALSE),0)</f>
        <v>0</v>
      </c>
      <c r="V223" s="111">
        <f>Ruimtestaat[[#This Row],[Uitvoeringen werkdagen]]*Ruimtestaat[[#This Row],[Oppervlak (netto)]]</f>
        <v>6636</v>
      </c>
      <c r="W223" s="112">
        <f>IF(U223&gt;0,Ruimtestaat[[#This Row],[Prest. (m2 /jaar) werkdagen]]/Ruimtestaat[[#This Row],[Norm (m2/uur) werkdagen]],0)</f>
        <v>0</v>
      </c>
      <c r="X223" s="113">
        <f>Ruimtestaat[[#This Row],[uren / jaar werkdagen]]*Tariefsopbouw!$E$35</f>
        <v>0</v>
      </c>
      <c r="Y223" s="110"/>
      <c r="Z223" s="114">
        <f>IF(Ruimtestaat[[#This Row],[Frequentie weekend]]&gt;0,VALUE(LEFT(Y223,1))*R223,0)</f>
        <v>0</v>
      </c>
      <c r="AA223" s="110">
        <f>IF($Z223&gt;0,VLOOKUP($J223,Ruimtegroepen[],3,FALSE)*VLOOKUP($L223,Vloersoorten[],3,FALSE)*VLOOKUP($Y223,Frequenties[],3,FALSE)*VLOOKUP($A219,Locaties[],3,FALSE),0)</f>
        <v>0</v>
      </c>
      <c r="AB223" s="112">
        <f>Ruimtestaat[[#This Row],[Uitvoeringen weekend]]*Ruimtestaat[[#This Row],[Oppervlak (netto)]]</f>
        <v>0</v>
      </c>
      <c r="AC223" s="115">
        <f>IF(AB223&gt;0,Ruimtestaat[[#This Row],[Prest. (m2 /jaar) weekend]]/Ruimtestaat[[#This Row],[Norm (m2/uur) weekend]],0)</f>
        <v>0</v>
      </c>
      <c r="AD223" s="116">
        <f>Ruimtestaat[[#This Row],[uren / jaar weekend]]*Tariefsopbouw!$D$40</f>
        <v>0</v>
      </c>
      <c r="AE223" s="82">
        <f>Ruimtestaat[[#This Row],[Prest. (m2 /jaar) weekend]]+Ruimtestaat[[#This Row],[Prest. (m2 /jaar) werkdagen]]</f>
        <v>6636</v>
      </c>
      <c r="AF223" s="82">
        <f>Ruimtestaat[[#This Row],[uren / jaar weekend]]+Ruimtestaat[[#This Row],[uren / jaar werkdagen]]</f>
        <v>0</v>
      </c>
      <c r="AG223" s="83">
        <f>Ruimtestaat[[#This Row],[kosten / jaar weekend]]+Ruimtestaat[[#This Row],[kosten / jaar werkdagen]]</f>
        <v>0</v>
      </c>
      <c r="AH223" s="117"/>
      <c r="HL223" s="87"/>
    </row>
    <row r="224" spans="1:220" ht="15" customHeight="1">
      <c r="A224" s="136">
        <v>1</v>
      </c>
      <c r="B224" s="27" t="str">
        <f>VLOOKUP(Ruimtestaat[[#This Row],[Code]],Locaties[#All],2,FALSE)</f>
        <v>Amstelveen College</v>
      </c>
      <c r="C224" s="27" t="str">
        <f>VLOOKUP(Ruimtestaat[[#This Row],[Code]],Locaties[#All],4,FALSE)</f>
        <v>Sportlaan 27</v>
      </c>
      <c r="D224" s="27" t="str">
        <f>VLOOKUP(Ruimtestaat[[#This Row],[Code]],Locaties[#All],5,FALSE)</f>
        <v>1185 TB</v>
      </c>
      <c r="E224" s="27" t="str">
        <f>VLOOKUP(Ruimtestaat[[#This Row],[Code]],Locaties[#All],6,FALSE)</f>
        <v>Amstelveen</v>
      </c>
      <c r="F224" s="74"/>
      <c r="G224" s="27" t="s">
        <v>274</v>
      </c>
      <c r="H224" s="27" t="s">
        <v>329</v>
      </c>
      <c r="I224" s="24" t="s">
        <v>371</v>
      </c>
      <c r="J224" s="27">
        <v>16</v>
      </c>
      <c r="K224" s="74" t="str">
        <f>VLOOKUP(J224,Ruimtegroepen[],2,FALSE)</f>
        <v>Leslokalen theorie</v>
      </c>
      <c r="L224" s="27" t="s">
        <v>114</v>
      </c>
      <c r="M224" s="27" t="s">
        <v>139</v>
      </c>
      <c r="N224" s="107">
        <v>60.7</v>
      </c>
      <c r="O224" s="107"/>
      <c r="P224" s="118" t="str">
        <f>LEFT(VLOOKUP(Ruimtestaat[[#This Row],[Ruimte code]],Ruimtegroepen[#All],4,1),2)</f>
        <v xml:space="preserve">L </v>
      </c>
      <c r="Q224" s="118"/>
      <c r="R224" s="108">
        <v>40</v>
      </c>
      <c r="S224" s="109" t="s">
        <v>18</v>
      </c>
      <c r="T224" s="110">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4" s="110">
        <f>IF(T224&gt;0,VLOOKUP($J224,Ruimtegroepen[],3,FALSE)*VLOOKUP($L224,Vloersoorten[],3,FALSE)*VLOOKUP($S224,Frequenties[],3,FALSE)*VLOOKUP($A224,Locaties[],3,FALSE),0)</f>
        <v>0</v>
      </c>
      <c r="V224" s="111">
        <f>Ruimtestaat[[#This Row],[Uitvoeringen werkdagen]]*Ruimtestaat[[#This Row],[Oppervlak (netto)]]</f>
        <v>7284</v>
      </c>
      <c r="W224" s="112">
        <f>IF(U224&gt;0,Ruimtestaat[[#This Row],[Prest. (m2 /jaar) werkdagen]]/Ruimtestaat[[#This Row],[Norm (m2/uur) werkdagen]],0)</f>
        <v>0</v>
      </c>
      <c r="X224" s="113">
        <f>Ruimtestaat[[#This Row],[uren / jaar werkdagen]]*Tariefsopbouw!$E$35</f>
        <v>0</v>
      </c>
      <c r="Y224" s="110"/>
      <c r="Z224" s="114">
        <f>IF(Ruimtestaat[[#This Row],[Frequentie weekend]]&gt;0,VALUE(LEFT(Y224,1))*R224,0)</f>
        <v>0</v>
      </c>
      <c r="AA224" s="110">
        <f>IF($Z224&gt;0,VLOOKUP($J224,Ruimtegroepen[],3,FALSE)*VLOOKUP($L224,Vloersoorten[],3,FALSE)*VLOOKUP($Y224,Frequenties[],3,FALSE)*VLOOKUP($A220,Locaties[],3,FALSE),0)</f>
        <v>0</v>
      </c>
      <c r="AB224" s="112">
        <f>Ruimtestaat[[#This Row],[Uitvoeringen weekend]]*Ruimtestaat[[#This Row],[Oppervlak (netto)]]</f>
        <v>0</v>
      </c>
      <c r="AC224" s="115">
        <f>IF(AB224&gt;0,Ruimtestaat[[#This Row],[Prest. (m2 /jaar) weekend]]/Ruimtestaat[[#This Row],[Norm (m2/uur) weekend]],0)</f>
        <v>0</v>
      </c>
      <c r="AD224" s="116">
        <f>Ruimtestaat[[#This Row],[uren / jaar weekend]]*Tariefsopbouw!$D$40</f>
        <v>0</v>
      </c>
      <c r="AE224" s="82">
        <f>Ruimtestaat[[#This Row],[Prest. (m2 /jaar) weekend]]+Ruimtestaat[[#This Row],[Prest. (m2 /jaar) werkdagen]]</f>
        <v>7284</v>
      </c>
      <c r="AF224" s="82">
        <f>Ruimtestaat[[#This Row],[uren / jaar weekend]]+Ruimtestaat[[#This Row],[uren / jaar werkdagen]]</f>
        <v>0</v>
      </c>
      <c r="AG224" s="83">
        <f>Ruimtestaat[[#This Row],[kosten / jaar weekend]]+Ruimtestaat[[#This Row],[kosten / jaar werkdagen]]</f>
        <v>0</v>
      </c>
      <c r="AH224" s="117"/>
      <c r="HL224" s="87"/>
    </row>
    <row r="225" spans="1:220" ht="15" customHeight="1">
      <c r="A225" s="136">
        <v>1</v>
      </c>
      <c r="B225" s="27" t="str">
        <f>VLOOKUP(Ruimtestaat[[#This Row],[Code]],Locaties[#All],2,FALSE)</f>
        <v>Amstelveen College</v>
      </c>
      <c r="C225" s="27" t="str">
        <f>VLOOKUP(Ruimtestaat[[#This Row],[Code]],Locaties[#All],4,FALSE)</f>
        <v>Sportlaan 27</v>
      </c>
      <c r="D225" s="27" t="str">
        <f>VLOOKUP(Ruimtestaat[[#This Row],[Code]],Locaties[#All],5,FALSE)</f>
        <v>1185 TB</v>
      </c>
      <c r="E225" s="27" t="str">
        <f>VLOOKUP(Ruimtestaat[[#This Row],[Code]],Locaties[#All],6,FALSE)</f>
        <v>Amstelveen</v>
      </c>
      <c r="F225" s="74"/>
      <c r="G225" s="27" t="s">
        <v>274</v>
      </c>
      <c r="H225" s="27" t="s">
        <v>330</v>
      </c>
      <c r="I225" s="24" t="s">
        <v>369</v>
      </c>
      <c r="J225" s="27">
        <v>6</v>
      </c>
      <c r="K225" s="74" t="str">
        <f>VLOOKUP(J225,Ruimtegroepen[],2,FALSE)</f>
        <v>Gangen/hallen</v>
      </c>
      <c r="L225" s="27" t="s">
        <v>114</v>
      </c>
      <c r="M225" s="27" t="s">
        <v>139</v>
      </c>
      <c r="N225" s="107">
        <v>202.2</v>
      </c>
      <c r="O225" s="107"/>
      <c r="P225" s="118" t="str">
        <f>LEFT(VLOOKUP(Ruimtestaat[[#This Row],[Ruimte code]],Ruimtegroepen[#All],4,1),2)</f>
        <v xml:space="preserve">V </v>
      </c>
      <c r="Q225" s="118"/>
      <c r="R225" s="108">
        <v>42</v>
      </c>
      <c r="S225" s="109" t="s">
        <v>2</v>
      </c>
      <c r="T225" s="110">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25" s="110">
        <f>IF(T225&gt;0,VLOOKUP($J225,Ruimtegroepen[],3,FALSE)*VLOOKUP($L225,Vloersoorten[],3,FALSE)*VLOOKUP($S225,Frequenties[],3,FALSE)*VLOOKUP($A225,Locaties[],3,FALSE),0)</f>
        <v>0</v>
      </c>
      <c r="V225" s="111">
        <f>Ruimtestaat[[#This Row],[Uitvoeringen werkdagen]]*Ruimtestaat[[#This Row],[Oppervlak (netto)]]</f>
        <v>42462</v>
      </c>
      <c r="W225" s="112">
        <f>IF(U225&gt;0,Ruimtestaat[[#This Row],[Prest. (m2 /jaar) werkdagen]]/Ruimtestaat[[#This Row],[Norm (m2/uur) werkdagen]],0)</f>
        <v>0</v>
      </c>
      <c r="X225" s="113">
        <f>Ruimtestaat[[#This Row],[uren / jaar werkdagen]]*Tariefsopbouw!$E$35</f>
        <v>0</v>
      </c>
      <c r="Y225" s="110"/>
      <c r="Z225" s="114">
        <f>IF(Ruimtestaat[[#This Row],[Frequentie weekend]]&gt;0,VALUE(LEFT(Y225,1))*R225,0)</f>
        <v>0</v>
      </c>
      <c r="AA225" s="110">
        <f>IF($Z225&gt;0,VLOOKUP($J225,Ruimtegroepen[],3,FALSE)*VLOOKUP($L225,Vloersoorten[],3,FALSE)*VLOOKUP($Y225,Frequenties[],3,FALSE)*VLOOKUP($A221,Locaties[],3,FALSE),0)</f>
        <v>0</v>
      </c>
      <c r="AB225" s="112">
        <f>Ruimtestaat[[#This Row],[Uitvoeringen weekend]]*Ruimtestaat[[#This Row],[Oppervlak (netto)]]</f>
        <v>0</v>
      </c>
      <c r="AC225" s="115">
        <f>IF(AB225&gt;0,Ruimtestaat[[#This Row],[Prest. (m2 /jaar) weekend]]/Ruimtestaat[[#This Row],[Norm (m2/uur) weekend]],0)</f>
        <v>0</v>
      </c>
      <c r="AD225" s="116">
        <f>Ruimtestaat[[#This Row],[uren / jaar weekend]]*Tariefsopbouw!$D$40</f>
        <v>0</v>
      </c>
      <c r="AE225" s="82">
        <f>Ruimtestaat[[#This Row],[Prest. (m2 /jaar) weekend]]+Ruimtestaat[[#This Row],[Prest. (m2 /jaar) werkdagen]]</f>
        <v>42462</v>
      </c>
      <c r="AF225" s="82">
        <f>Ruimtestaat[[#This Row],[uren / jaar weekend]]+Ruimtestaat[[#This Row],[uren / jaar werkdagen]]</f>
        <v>0</v>
      </c>
      <c r="AG225" s="83">
        <f>Ruimtestaat[[#This Row],[kosten / jaar weekend]]+Ruimtestaat[[#This Row],[kosten / jaar werkdagen]]</f>
        <v>0</v>
      </c>
      <c r="AH225" s="117"/>
      <c r="HL225" s="87"/>
    </row>
    <row r="226" spans="1:220" ht="15" customHeight="1">
      <c r="A226" s="136">
        <v>1</v>
      </c>
      <c r="B226" s="27" t="str">
        <f>VLOOKUP(Ruimtestaat[[#This Row],[Code]],Locaties[#All],2,FALSE)</f>
        <v>Amstelveen College</v>
      </c>
      <c r="C226" s="27" t="str">
        <f>VLOOKUP(Ruimtestaat[[#This Row],[Code]],Locaties[#All],4,FALSE)</f>
        <v>Sportlaan 27</v>
      </c>
      <c r="D226" s="27" t="str">
        <f>VLOOKUP(Ruimtestaat[[#This Row],[Code]],Locaties[#All],5,FALSE)</f>
        <v>1185 TB</v>
      </c>
      <c r="E226" s="27" t="str">
        <f>VLOOKUP(Ruimtestaat[[#This Row],[Code]],Locaties[#All],6,FALSE)</f>
        <v>Amstelveen</v>
      </c>
      <c r="F226" s="74"/>
      <c r="G226" s="27" t="s">
        <v>274</v>
      </c>
      <c r="H226" s="27" t="s">
        <v>331</v>
      </c>
      <c r="I226" s="24" t="s">
        <v>371</v>
      </c>
      <c r="J226" s="27">
        <v>16</v>
      </c>
      <c r="K226" s="74" t="str">
        <f>VLOOKUP(J226,Ruimtegroepen[],2,FALSE)</f>
        <v>Leslokalen theorie</v>
      </c>
      <c r="L226" s="27" t="s">
        <v>114</v>
      </c>
      <c r="M226" s="27" t="s">
        <v>139</v>
      </c>
      <c r="N226" s="107">
        <v>30.3</v>
      </c>
      <c r="O226" s="107"/>
      <c r="P226" s="118" t="str">
        <f>LEFT(VLOOKUP(Ruimtestaat[[#This Row],[Ruimte code]],Ruimtegroepen[#All],4,1),2)</f>
        <v xml:space="preserve">L </v>
      </c>
      <c r="Q226" s="118"/>
      <c r="R226" s="108">
        <v>40</v>
      </c>
      <c r="S226" s="109" t="s">
        <v>18</v>
      </c>
      <c r="T226" s="110">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26" s="110">
        <f>IF(T226&gt;0,VLOOKUP($J226,Ruimtegroepen[],3,FALSE)*VLOOKUP($L226,Vloersoorten[],3,FALSE)*VLOOKUP($S226,Frequenties[],3,FALSE)*VLOOKUP($A226,Locaties[],3,FALSE),0)</f>
        <v>0</v>
      </c>
      <c r="V226" s="111">
        <f>Ruimtestaat[[#This Row],[Uitvoeringen werkdagen]]*Ruimtestaat[[#This Row],[Oppervlak (netto)]]</f>
        <v>3636</v>
      </c>
      <c r="W226" s="112">
        <f>IF(U226&gt;0,Ruimtestaat[[#This Row],[Prest. (m2 /jaar) werkdagen]]/Ruimtestaat[[#This Row],[Norm (m2/uur) werkdagen]],0)</f>
        <v>0</v>
      </c>
      <c r="X226" s="113">
        <f>Ruimtestaat[[#This Row],[uren / jaar werkdagen]]*Tariefsopbouw!$E$35</f>
        <v>0</v>
      </c>
      <c r="Y226" s="110"/>
      <c r="Z226" s="114">
        <f>IF(Ruimtestaat[[#This Row],[Frequentie weekend]]&gt;0,VALUE(LEFT(Y226,1))*R226,0)</f>
        <v>0</v>
      </c>
      <c r="AA226" s="110">
        <f>IF($Z226&gt;0,VLOOKUP($J226,Ruimtegroepen[],3,FALSE)*VLOOKUP($L226,Vloersoorten[],3,FALSE)*VLOOKUP($Y226,Frequenties[],3,FALSE)*VLOOKUP($A222,Locaties[],3,FALSE),0)</f>
        <v>0</v>
      </c>
      <c r="AB226" s="112">
        <f>Ruimtestaat[[#This Row],[Uitvoeringen weekend]]*Ruimtestaat[[#This Row],[Oppervlak (netto)]]</f>
        <v>0</v>
      </c>
      <c r="AC226" s="115">
        <f>IF(AB226&gt;0,Ruimtestaat[[#This Row],[Prest. (m2 /jaar) weekend]]/Ruimtestaat[[#This Row],[Norm (m2/uur) weekend]],0)</f>
        <v>0</v>
      </c>
      <c r="AD226" s="116">
        <f>Ruimtestaat[[#This Row],[uren / jaar weekend]]*Tariefsopbouw!$D$40</f>
        <v>0</v>
      </c>
      <c r="AE226" s="82">
        <f>Ruimtestaat[[#This Row],[Prest. (m2 /jaar) weekend]]+Ruimtestaat[[#This Row],[Prest. (m2 /jaar) werkdagen]]</f>
        <v>3636</v>
      </c>
      <c r="AF226" s="82">
        <f>Ruimtestaat[[#This Row],[uren / jaar weekend]]+Ruimtestaat[[#This Row],[uren / jaar werkdagen]]</f>
        <v>0</v>
      </c>
      <c r="AG226" s="83">
        <f>Ruimtestaat[[#This Row],[kosten / jaar weekend]]+Ruimtestaat[[#This Row],[kosten / jaar werkdagen]]</f>
        <v>0</v>
      </c>
      <c r="AH226" s="117"/>
      <c r="HL226" s="87"/>
    </row>
    <row r="227" spans="1:220" ht="15" customHeight="1">
      <c r="A227" s="136">
        <v>1</v>
      </c>
      <c r="B227" s="27" t="str">
        <f>VLOOKUP(Ruimtestaat[[#This Row],[Code]],Locaties[#All],2,FALSE)</f>
        <v>Amstelveen College</v>
      </c>
      <c r="C227" s="27" t="str">
        <f>VLOOKUP(Ruimtestaat[[#This Row],[Code]],Locaties[#All],4,FALSE)</f>
        <v>Sportlaan 27</v>
      </c>
      <c r="D227" s="27" t="str">
        <f>VLOOKUP(Ruimtestaat[[#This Row],[Code]],Locaties[#All],5,FALSE)</f>
        <v>1185 TB</v>
      </c>
      <c r="E227" s="27" t="str">
        <f>VLOOKUP(Ruimtestaat[[#This Row],[Code]],Locaties[#All],6,FALSE)</f>
        <v>Amstelveen</v>
      </c>
      <c r="F227" s="74"/>
      <c r="G227" s="27" t="s">
        <v>274</v>
      </c>
      <c r="H227" s="27" t="s">
        <v>332</v>
      </c>
      <c r="I227" s="24" t="s">
        <v>373</v>
      </c>
      <c r="J227" s="27">
        <v>6</v>
      </c>
      <c r="K227" s="74" t="str">
        <f>VLOOKUP(J227,Ruimtegroepen[],2,FALSE)</f>
        <v>Gangen/hallen</v>
      </c>
      <c r="L227" s="27" t="s">
        <v>113</v>
      </c>
      <c r="M227" s="27" t="s">
        <v>39</v>
      </c>
      <c r="N227" s="107">
        <v>8.1</v>
      </c>
      <c r="O227" s="107"/>
      <c r="P227" s="118" t="str">
        <f>LEFT(VLOOKUP(Ruimtestaat[[#This Row],[Ruimte code]],Ruimtegroepen[#All],4,1),2)</f>
        <v xml:space="preserve">V </v>
      </c>
      <c r="Q227" s="118"/>
      <c r="R227" s="108">
        <v>42</v>
      </c>
      <c r="S227" s="109" t="s">
        <v>2</v>
      </c>
      <c r="T227" s="110">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27" s="110">
        <f>IF(T227&gt;0,VLOOKUP($J227,Ruimtegroepen[],3,FALSE)*VLOOKUP($L227,Vloersoorten[],3,FALSE)*VLOOKUP($S227,Frequenties[],3,FALSE)*VLOOKUP($A227,Locaties[],3,FALSE),0)</f>
        <v>0</v>
      </c>
      <c r="V227" s="111">
        <f>Ruimtestaat[[#This Row],[Uitvoeringen werkdagen]]*Ruimtestaat[[#This Row],[Oppervlak (netto)]]</f>
        <v>1701</v>
      </c>
      <c r="W227" s="112">
        <f>IF(U227&gt;0,Ruimtestaat[[#This Row],[Prest. (m2 /jaar) werkdagen]]/Ruimtestaat[[#This Row],[Norm (m2/uur) werkdagen]],0)</f>
        <v>0</v>
      </c>
      <c r="X227" s="113">
        <f>Ruimtestaat[[#This Row],[uren / jaar werkdagen]]*Tariefsopbouw!$E$35</f>
        <v>0</v>
      </c>
      <c r="Y227" s="110"/>
      <c r="Z227" s="114">
        <f>IF(Ruimtestaat[[#This Row],[Frequentie weekend]]&gt;0,VALUE(LEFT(Y227,1))*R227,0)</f>
        <v>0</v>
      </c>
      <c r="AA227" s="110">
        <f>IF($Z227&gt;0,VLOOKUP($J227,Ruimtegroepen[],3,FALSE)*VLOOKUP($L227,Vloersoorten[],3,FALSE)*VLOOKUP($Y227,Frequenties[],3,FALSE)*VLOOKUP($A223,Locaties[],3,FALSE),0)</f>
        <v>0</v>
      </c>
      <c r="AB227" s="112">
        <f>Ruimtestaat[[#This Row],[Uitvoeringen weekend]]*Ruimtestaat[[#This Row],[Oppervlak (netto)]]</f>
        <v>0</v>
      </c>
      <c r="AC227" s="115">
        <f>IF(AB227&gt;0,Ruimtestaat[[#This Row],[Prest. (m2 /jaar) weekend]]/Ruimtestaat[[#This Row],[Norm (m2/uur) weekend]],0)</f>
        <v>0</v>
      </c>
      <c r="AD227" s="116">
        <f>Ruimtestaat[[#This Row],[uren / jaar weekend]]*Tariefsopbouw!$D$40</f>
        <v>0</v>
      </c>
      <c r="AE227" s="82">
        <f>Ruimtestaat[[#This Row],[Prest. (m2 /jaar) weekend]]+Ruimtestaat[[#This Row],[Prest. (m2 /jaar) werkdagen]]</f>
        <v>1701</v>
      </c>
      <c r="AF227" s="82">
        <f>Ruimtestaat[[#This Row],[uren / jaar weekend]]+Ruimtestaat[[#This Row],[uren / jaar werkdagen]]</f>
        <v>0</v>
      </c>
      <c r="AG227" s="83">
        <f>Ruimtestaat[[#This Row],[kosten / jaar weekend]]+Ruimtestaat[[#This Row],[kosten / jaar werkdagen]]</f>
        <v>0</v>
      </c>
      <c r="AH227" s="117"/>
      <c r="HL227" s="87"/>
    </row>
    <row r="228" spans="1:220" ht="15" customHeight="1">
      <c r="A228" s="136">
        <v>1</v>
      </c>
      <c r="B228" s="27" t="str">
        <f>VLOOKUP(Ruimtestaat[[#This Row],[Code]],Locaties[#All],2,FALSE)</f>
        <v>Amstelveen College</v>
      </c>
      <c r="C228" s="27" t="str">
        <f>VLOOKUP(Ruimtestaat[[#This Row],[Code]],Locaties[#All],4,FALSE)</f>
        <v>Sportlaan 27</v>
      </c>
      <c r="D228" s="27" t="str">
        <f>VLOOKUP(Ruimtestaat[[#This Row],[Code]],Locaties[#All],5,FALSE)</f>
        <v>1185 TB</v>
      </c>
      <c r="E228" s="27" t="str">
        <f>VLOOKUP(Ruimtestaat[[#This Row],[Code]],Locaties[#All],6,FALSE)</f>
        <v>Amstelveen</v>
      </c>
      <c r="F228" s="74"/>
      <c r="G228" s="27" t="s">
        <v>274</v>
      </c>
      <c r="H228" s="27" t="s">
        <v>333</v>
      </c>
      <c r="I228" s="24" t="s">
        <v>376</v>
      </c>
      <c r="J228" s="27">
        <v>2</v>
      </c>
      <c r="K228" s="74" t="str">
        <f>VLOOKUP(J228,Ruimtegroepen[],2,FALSE)</f>
        <v>Kantoren</v>
      </c>
      <c r="L228" s="27" t="s">
        <v>113</v>
      </c>
      <c r="M228" s="27" t="s">
        <v>39</v>
      </c>
      <c r="N228" s="107">
        <v>35.299999999999997</v>
      </c>
      <c r="O228" s="107"/>
      <c r="P228" s="118" t="str">
        <f>LEFT(VLOOKUP(Ruimtestaat[[#This Row],[Ruimte code]],Ruimtegroepen[#All],4,1),2)</f>
        <v xml:space="preserve">B </v>
      </c>
      <c r="Q228" s="118"/>
      <c r="R228" s="108">
        <v>42</v>
      </c>
      <c r="S228" s="109" t="s">
        <v>15</v>
      </c>
      <c r="T228" s="110">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28" s="110">
        <f>IF(T228&gt;0,VLOOKUP($J228,Ruimtegroepen[],3,FALSE)*VLOOKUP($L228,Vloersoorten[],3,FALSE)*VLOOKUP($S228,Frequenties[],3,FALSE)*VLOOKUP($A228,Locaties[],3,FALSE),0)</f>
        <v>0</v>
      </c>
      <c r="V228" s="111">
        <f>Ruimtestaat[[#This Row],[Uitvoeringen werkdagen]]*Ruimtestaat[[#This Row],[Oppervlak (netto)]]</f>
        <v>1482.6</v>
      </c>
      <c r="W228" s="112">
        <f>IF(U228&gt;0,Ruimtestaat[[#This Row],[Prest. (m2 /jaar) werkdagen]]/Ruimtestaat[[#This Row],[Norm (m2/uur) werkdagen]],0)</f>
        <v>0</v>
      </c>
      <c r="X228" s="113">
        <f>Ruimtestaat[[#This Row],[uren / jaar werkdagen]]*Tariefsopbouw!$E$35</f>
        <v>0</v>
      </c>
      <c r="Y228" s="110"/>
      <c r="Z228" s="114">
        <f>IF(Ruimtestaat[[#This Row],[Frequentie weekend]]&gt;0,VALUE(LEFT(Y228,1))*R228,0)</f>
        <v>0</v>
      </c>
      <c r="AA228" s="110">
        <f>IF($Z228&gt;0,VLOOKUP($J228,Ruimtegroepen[],3,FALSE)*VLOOKUP($L228,Vloersoorten[],3,FALSE)*VLOOKUP($Y228,Frequenties[],3,FALSE)*VLOOKUP($A224,Locaties[],3,FALSE),0)</f>
        <v>0</v>
      </c>
      <c r="AB228" s="112">
        <f>Ruimtestaat[[#This Row],[Uitvoeringen weekend]]*Ruimtestaat[[#This Row],[Oppervlak (netto)]]</f>
        <v>0</v>
      </c>
      <c r="AC228" s="115">
        <f>IF(AB228&gt;0,Ruimtestaat[[#This Row],[Prest. (m2 /jaar) weekend]]/Ruimtestaat[[#This Row],[Norm (m2/uur) weekend]],0)</f>
        <v>0</v>
      </c>
      <c r="AD228" s="116">
        <f>Ruimtestaat[[#This Row],[uren / jaar weekend]]*Tariefsopbouw!$D$40</f>
        <v>0</v>
      </c>
      <c r="AE228" s="82">
        <f>Ruimtestaat[[#This Row],[Prest. (m2 /jaar) weekend]]+Ruimtestaat[[#This Row],[Prest. (m2 /jaar) werkdagen]]</f>
        <v>1482.6</v>
      </c>
      <c r="AF228" s="82">
        <f>Ruimtestaat[[#This Row],[uren / jaar weekend]]+Ruimtestaat[[#This Row],[uren / jaar werkdagen]]</f>
        <v>0</v>
      </c>
      <c r="AG228" s="83">
        <f>Ruimtestaat[[#This Row],[kosten / jaar weekend]]+Ruimtestaat[[#This Row],[kosten / jaar werkdagen]]</f>
        <v>0</v>
      </c>
      <c r="AH228" s="117"/>
      <c r="HL228" s="87"/>
    </row>
    <row r="229" spans="1:220" ht="15" customHeight="1">
      <c r="A229" s="136">
        <v>1</v>
      </c>
      <c r="B229" s="27" t="str">
        <f>VLOOKUP(Ruimtestaat[[#This Row],[Code]],Locaties[#All],2,FALSE)</f>
        <v>Amstelveen College</v>
      </c>
      <c r="C229" s="27" t="str">
        <f>VLOOKUP(Ruimtestaat[[#This Row],[Code]],Locaties[#All],4,FALSE)</f>
        <v>Sportlaan 27</v>
      </c>
      <c r="D229" s="27" t="str">
        <f>VLOOKUP(Ruimtestaat[[#This Row],[Code]],Locaties[#All],5,FALSE)</f>
        <v>1185 TB</v>
      </c>
      <c r="E229" s="27" t="str">
        <f>VLOOKUP(Ruimtestaat[[#This Row],[Code]],Locaties[#All],6,FALSE)</f>
        <v>Amstelveen</v>
      </c>
      <c r="F229" s="74"/>
      <c r="G229" s="27" t="s">
        <v>274</v>
      </c>
      <c r="H229" s="27" t="s">
        <v>334</v>
      </c>
      <c r="I229" s="24" t="s">
        <v>375</v>
      </c>
      <c r="J229" s="27">
        <v>2</v>
      </c>
      <c r="K229" s="74" t="str">
        <f>VLOOKUP(J229,Ruimtegroepen[],2,FALSE)</f>
        <v>Kantoren</v>
      </c>
      <c r="L229" s="27" t="s">
        <v>113</v>
      </c>
      <c r="M229" s="27" t="s">
        <v>39</v>
      </c>
      <c r="N229" s="107">
        <v>12.6</v>
      </c>
      <c r="O229" s="107"/>
      <c r="P229" s="118" t="str">
        <f>LEFT(VLOOKUP(Ruimtestaat[[#This Row],[Ruimte code]],Ruimtegroepen[#All],4,1),2)</f>
        <v xml:space="preserve">B </v>
      </c>
      <c r="Q229" s="118"/>
      <c r="R229" s="108">
        <v>42</v>
      </c>
      <c r="S229" s="109" t="s">
        <v>15</v>
      </c>
      <c r="T229" s="110">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29" s="110">
        <f>IF(T229&gt;0,VLOOKUP($J229,Ruimtegroepen[],3,FALSE)*VLOOKUP($L229,Vloersoorten[],3,FALSE)*VLOOKUP($S229,Frequenties[],3,FALSE)*VLOOKUP($A229,Locaties[],3,FALSE),0)</f>
        <v>0</v>
      </c>
      <c r="V229" s="111">
        <f>Ruimtestaat[[#This Row],[Uitvoeringen werkdagen]]*Ruimtestaat[[#This Row],[Oppervlak (netto)]]</f>
        <v>529.19999999999993</v>
      </c>
      <c r="W229" s="112">
        <f>IF(U229&gt;0,Ruimtestaat[[#This Row],[Prest. (m2 /jaar) werkdagen]]/Ruimtestaat[[#This Row],[Norm (m2/uur) werkdagen]],0)</f>
        <v>0</v>
      </c>
      <c r="X229" s="113">
        <f>Ruimtestaat[[#This Row],[uren / jaar werkdagen]]*Tariefsopbouw!$E$35</f>
        <v>0</v>
      </c>
      <c r="Y229" s="110"/>
      <c r="Z229" s="114">
        <f>IF(Ruimtestaat[[#This Row],[Frequentie weekend]]&gt;0,VALUE(LEFT(Y229,1))*R229,0)</f>
        <v>0</v>
      </c>
      <c r="AA229" s="110">
        <f>IF($Z229&gt;0,VLOOKUP($J229,Ruimtegroepen[],3,FALSE)*VLOOKUP($L229,Vloersoorten[],3,FALSE)*VLOOKUP($Y229,Frequenties[],3,FALSE)*VLOOKUP($A225,Locaties[],3,FALSE),0)</f>
        <v>0</v>
      </c>
      <c r="AB229" s="112">
        <f>Ruimtestaat[[#This Row],[Uitvoeringen weekend]]*Ruimtestaat[[#This Row],[Oppervlak (netto)]]</f>
        <v>0</v>
      </c>
      <c r="AC229" s="115">
        <f>IF(AB229&gt;0,Ruimtestaat[[#This Row],[Prest. (m2 /jaar) weekend]]/Ruimtestaat[[#This Row],[Norm (m2/uur) weekend]],0)</f>
        <v>0</v>
      </c>
      <c r="AD229" s="116">
        <f>Ruimtestaat[[#This Row],[uren / jaar weekend]]*Tariefsopbouw!$D$40</f>
        <v>0</v>
      </c>
      <c r="AE229" s="82">
        <f>Ruimtestaat[[#This Row],[Prest. (m2 /jaar) weekend]]+Ruimtestaat[[#This Row],[Prest. (m2 /jaar) werkdagen]]</f>
        <v>529.19999999999993</v>
      </c>
      <c r="AF229" s="82">
        <f>Ruimtestaat[[#This Row],[uren / jaar weekend]]+Ruimtestaat[[#This Row],[uren / jaar werkdagen]]</f>
        <v>0</v>
      </c>
      <c r="AG229" s="83">
        <f>Ruimtestaat[[#This Row],[kosten / jaar weekend]]+Ruimtestaat[[#This Row],[kosten / jaar werkdagen]]</f>
        <v>0</v>
      </c>
      <c r="AH229" s="117"/>
      <c r="HL229" s="87"/>
    </row>
    <row r="230" spans="1:220" ht="15" customHeight="1">
      <c r="A230" s="136">
        <v>1</v>
      </c>
      <c r="B230" s="27" t="str">
        <f>VLOOKUP(Ruimtestaat[[#This Row],[Code]],Locaties[#All],2,FALSE)</f>
        <v>Amstelveen College</v>
      </c>
      <c r="C230" s="27" t="str">
        <f>VLOOKUP(Ruimtestaat[[#This Row],[Code]],Locaties[#All],4,FALSE)</f>
        <v>Sportlaan 27</v>
      </c>
      <c r="D230" s="27" t="str">
        <f>VLOOKUP(Ruimtestaat[[#This Row],[Code]],Locaties[#All],5,FALSE)</f>
        <v>1185 TB</v>
      </c>
      <c r="E230" s="27" t="str">
        <f>VLOOKUP(Ruimtestaat[[#This Row],[Code]],Locaties[#All],6,FALSE)</f>
        <v>Amstelveen</v>
      </c>
      <c r="F230" s="74"/>
      <c r="G230" s="27" t="s">
        <v>274</v>
      </c>
      <c r="H230" s="27" t="s">
        <v>335</v>
      </c>
      <c r="I230" s="24" t="s">
        <v>371</v>
      </c>
      <c r="J230" s="27">
        <v>16</v>
      </c>
      <c r="K230" s="74" t="str">
        <f>VLOOKUP(J230,Ruimtegroepen[],2,FALSE)</f>
        <v>Leslokalen theorie</v>
      </c>
      <c r="L230" s="27" t="s">
        <v>114</v>
      </c>
      <c r="M230" s="27" t="s">
        <v>139</v>
      </c>
      <c r="N230" s="107">
        <v>56.8</v>
      </c>
      <c r="O230" s="107"/>
      <c r="P230" s="118" t="str">
        <f>LEFT(VLOOKUP(Ruimtestaat[[#This Row],[Ruimte code]],Ruimtegroepen[#All],4,1),2)</f>
        <v xml:space="preserve">L </v>
      </c>
      <c r="Q230" s="118"/>
      <c r="R230" s="108">
        <v>40</v>
      </c>
      <c r="S230" s="109" t="s">
        <v>18</v>
      </c>
      <c r="T230" s="110">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30" s="110">
        <f>IF(T230&gt;0,VLOOKUP($J230,Ruimtegroepen[],3,FALSE)*VLOOKUP($L230,Vloersoorten[],3,FALSE)*VLOOKUP($S230,Frequenties[],3,FALSE)*VLOOKUP($A230,Locaties[],3,FALSE),0)</f>
        <v>0</v>
      </c>
      <c r="V230" s="111">
        <f>Ruimtestaat[[#This Row],[Uitvoeringen werkdagen]]*Ruimtestaat[[#This Row],[Oppervlak (netto)]]</f>
        <v>6816</v>
      </c>
      <c r="W230" s="112">
        <f>IF(U230&gt;0,Ruimtestaat[[#This Row],[Prest. (m2 /jaar) werkdagen]]/Ruimtestaat[[#This Row],[Norm (m2/uur) werkdagen]],0)</f>
        <v>0</v>
      </c>
      <c r="X230" s="113">
        <f>Ruimtestaat[[#This Row],[uren / jaar werkdagen]]*Tariefsopbouw!$E$35</f>
        <v>0</v>
      </c>
      <c r="Y230" s="110"/>
      <c r="Z230" s="114">
        <f>IF(Ruimtestaat[[#This Row],[Frequentie weekend]]&gt;0,VALUE(LEFT(Y230,1))*R230,0)</f>
        <v>0</v>
      </c>
      <c r="AA230" s="110">
        <f>IF($Z230&gt;0,VLOOKUP($J230,Ruimtegroepen[],3,FALSE)*VLOOKUP($L230,Vloersoorten[],3,FALSE)*VLOOKUP($Y230,Frequenties[],3,FALSE)*VLOOKUP($A226,Locaties[],3,FALSE),0)</f>
        <v>0</v>
      </c>
      <c r="AB230" s="112">
        <f>Ruimtestaat[[#This Row],[Uitvoeringen weekend]]*Ruimtestaat[[#This Row],[Oppervlak (netto)]]</f>
        <v>0</v>
      </c>
      <c r="AC230" s="115">
        <f>IF(AB230&gt;0,Ruimtestaat[[#This Row],[Prest. (m2 /jaar) weekend]]/Ruimtestaat[[#This Row],[Norm (m2/uur) weekend]],0)</f>
        <v>0</v>
      </c>
      <c r="AD230" s="116">
        <f>Ruimtestaat[[#This Row],[uren / jaar weekend]]*Tariefsopbouw!$D$40</f>
        <v>0</v>
      </c>
      <c r="AE230" s="82">
        <f>Ruimtestaat[[#This Row],[Prest. (m2 /jaar) weekend]]+Ruimtestaat[[#This Row],[Prest. (m2 /jaar) werkdagen]]</f>
        <v>6816</v>
      </c>
      <c r="AF230" s="82">
        <f>Ruimtestaat[[#This Row],[uren / jaar weekend]]+Ruimtestaat[[#This Row],[uren / jaar werkdagen]]</f>
        <v>0</v>
      </c>
      <c r="AG230" s="83">
        <f>Ruimtestaat[[#This Row],[kosten / jaar weekend]]+Ruimtestaat[[#This Row],[kosten / jaar werkdagen]]</f>
        <v>0</v>
      </c>
      <c r="AH230" s="117"/>
      <c r="HL230" s="87"/>
    </row>
    <row r="231" spans="1:220" ht="15" customHeight="1">
      <c r="A231" s="136">
        <v>1</v>
      </c>
      <c r="B231" s="27" t="str">
        <f>VLOOKUP(Ruimtestaat[[#This Row],[Code]],Locaties[#All],2,FALSE)</f>
        <v>Amstelveen College</v>
      </c>
      <c r="C231" s="27" t="str">
        <f>VLOOKUP(Ruimtestaat[[#This Row],[Code]],Locaties[#All],4,FALSE)</f>
        <v>Sportlaan 27</v>
      </c>
      <c r="D231" s="27" t="str">
        <f>VLOOKUP(Ruimtestaat[[#This Row],[Code]],Locaties[#All],5,FALSE)</f>
        <v>1185 TB</v>
      </c>
      <c r="E231" s="27" t="str">
        <f>VLOOKUP(Ruimtestaat[[#This Row],[Code]],Locaties[#All],6,FALSE)</f>
        <v>Amstelveen</v>
      </c>
      <c r="F231" s="74"/>
      <c r="G231" s="27" t="s">
        <v>274</v>
      </c>
      <c r="H231" s="27" t="s">
        <v>336</v>
      </c>
      <c r="I231" s="24" t="s">
        <v>323</v>
      </c>
      <c r="J231" s="27">
        <v>4</v>
      </c>
      <c r="K231" s="74" t="str">
        <f>VLOOKUP(J231,Ruimtegroepen[],2,FALSE)</f>
        <v>Vergader/spreekkamers</v>
      </c>
      <c r="L231" s="27" t="s">
        <v>113</v>
      </c>
      <c r="M231" s="27" t="s">
        <v>39</v>
      </c>
      <c r="N231" s="107">
        <v>9.6</v>
      </c>
      <c r="O231" s="107"/>
      <c r="P231" s="118" t="str">
        <f>LEFT(VLOOKUP(Ruimtestaat[[#This Row],[Ruimte code]],Ruimtegroepen[#All],4,1),2)</f>
        <v xml:space="preserve">B </v>
      </c>
      <c r="Q231" s="118"/>
      <c r="R231" s="108">
        <v>40</v>
      </c>
      <c r="S231" s="109" t="s">
        <v>15</v>
      </c>
      <c r="T231" s="110">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31" s="110">
        <f>IF(T231&gt;0,VLOOKUP($J231,Ruimtegroepen[],3,FALSE)*VLOOKUP($L231,Vloersoorten[],3,FALSE)*VLOOKUP($S231,Frequenties[],3,FALSE)*VLOOKUP($A231,Locaties[],3,FALSE),0)</f>
        <v>0</v>
      </c>
      <c r="V231" s="111">
        <f>Ruimtestaat[[#This Row],[Uitvoeringen werkdagen]]*Ruimtestaat[[#This Row],[Oppervlak (netto)]]</f>
        <v>384</v>
      </c>
      <c r="W231" s="112">
        <f>IF(U231&gt;0,Ruimtestaat[[#This Row],[Prest. (m2 /jaar) werkdagen]]/Ruimtestaat[[#This Row],[Norm (m2/uur) werkdagen]],0)</f>
        <v>0</v>
      </c>
      <c r="X231" s="113">
        <f>Ruimtestaat[[#This Row],[uren / jaar werkdagen]]*Tariefsopbouw!$E$35</f>
        <v>0</v>
      </c>
      <c r="Y231" s="110"/>
      <c r="Z231" s="114">
        <f>IF(Ruimtestaat[[#This Row],[Frequentie weekend]]&gt;0,VALUE(LEFT(Y231,1))*R231,0)</f>
        <v>0</v>
      </c>
      <c r="AA231" s="110">
        <f>IF($Z231&gt;0,VLOOKUP($J231,Ruimtegroepen[],3,FALSE)*VLOOKUP($L231,Vloersoorten[],3,FALSE)*VLOOKUP($Y231,Frequenties[],3,FALSE)*VLOOKUP($A227,Locaties[],3,FALSE),0)</f>
        <v>0</v>
      </c>
      <c r="AB231" s="112">
        <f>Ruimtestaat[[#This Row],[Uitvoeringen weekend]]*Ruimtestaat[[#This Row],[Oppervlak (netto)]]</f>
        <v>0</v>
      </c>
      <c r="AC231" s="115">
        <f>IF(AB231&gt;0,Ruimtestaat[[#This Row],[Prest. (m2 /jaar) weekend]]/Ruimtestaat[[#This Row],[Norm (m2/uur) weekend]],0)</f>
        <v>0</v>
      </c>
      <c r="AD231" s="116">
        <f>Ruimtestaat[[#This Row],[uren / jaar weekend]]*Tariefsopbouw!$D$40</f>
        <v>0</v>
      </c>
      <c r="AE231" s="82">
        <f>Ruimtestaat[[#This Row],[Prest. (m2 /jaar) weekend]]+Ruimtestaat[[#This Row],[Prest. (m2 /jaar) werkdagen]]</f>
        <v>384</v>
      </c>
      <c r="AF231" s="82">
        <f>Ruimtestaat[[#This Row],[uren / jaar weekend]]+Ruimtestaat[[#This Row],[uren / jaar werkdagen]]</f>
        <v>0</v>
      </c>
      <c r="AG231" s="83">
        <f>Ruimtestaat[[#This Row],[kosten / jaar weekend]]+Ruimtestaat[[#This Row],[kosten / jaar werkdagen]]</f>
        <v>0</v>
      </c>
      <c r="AH231" s="117"/>
      <c r="HL231" s="87"/>
    </row>
    <row r="232" spans="1:220" ht="15" customHeight="1">
      <c r="A232" s="136">
        <v>1</v>
      </c>
      <c r="B232" s="27" t="str">
        <f>VLOOKUP(Ruimtestaat[[#This Row],[Code]],Locaties[#All],2,FALSE)</f>
        <v>Amstelveen College</v>
      </c>
      <c r="C232" s="27" t="str">
        <f>VLOOKUP(Ruimtestaat[[#This Row],[Code]],Locaties[#All],4,FALSE)</f>
        <v>Sportlaan 27</v>
      </c>
      <c r="D232" s="27" t="str">
        <f>VLOOKUP(Ruimtestaat[[#This Row],[Code]],Locaties[#All],5,FALSE)</f>
        <v>1185 TB</v>
      </c>
      <c r="E232" s="27" t="str">
        <f>VLOOKUP(Ruimtestaat[[#This Row],[Code]],Locaties[#All],6,FALSE)</f>
        <v>Amstelveen</v>
      </c>
      <c r="F232" s="74"/>
      <c r="G232" s="27" t="s">
        <v>274</v>
      </c>
      <c r="H232" s="27" t="s">
        <v>337</v>
      </c>
      <c r="I232" s="24" t="s">
        <v>269</v>
      </c>
      <c r="J232" s="27">
        <v>5</v>
      </c>
      <c r="K232" s="74" t="str">
        <f>VLOOKUP(J232,Ruimtegroepen[],2,FALSE)</f>
        <v>Sanitair</v>
      </c>
      <c r="L232" s="27" t="s">
        <v>115</v>
      </c>
      <c r="M232" s="27" t="s">
        <v>271</v>
      </c>
      <c r="N232" s="107">
        <v>4.8</v>
      </c>
      <c r="O232" s="107"/>
      <c r="P232" s="118" t="str">
        <f>LEFT(VLOOKUP(Ruimtestaat[[#This Row],[Ruimte code]],Ruimtegroepen[#All],4,1),2)</f>
        <v xml:space="preserve">S </v>
      </c>
      <c r="Q232" s="118"/>
      <c r="R232" s="108">
        <v>42</v>
      </c>
      <c r="S232" s="109" t="s">
        <v>19</v>
      </c>
      <c r="T232" s="110">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232" s="110">
        <f>IF(T232&gt;0,VLOOKUP($J232,Ruimtegroepen[],3,FALSE)*VLOOKUP($L232,Vloersoorten[],3,FALSE)*VLOOKUP($S232,Frequenties[],3,FALSE)*VLOOKUP($A232,Locaties[],3,FALSE),0)</f>
        <v>0</v>
      </c>
      <c r="V232" s="111">
        <f>Ruimtestaat[[#This Row],[Uitvoeringen werkdagen]]*Ruimtestaat[[#This Row],[Oppervlak (netto)]]</f>
        <v>2016</v>
      </c>
      <c r="W232" s="112">
        <f>IF(U232&gt;0,Ruimtestaat[[#This Row],[Prest. (m2 /jaar) werkdagen]]/Ruimtestaat[[#This Row],[Norm (m2/uur) werkdagen]],0)</f>
        <v>0</v>
      </c>
      <c r="X232" s="113">
        <f>Ruimtestaat[[#This Row],[uren / jaar werkdagen]]*Tariefsopbouw!$E$35</f>
        <v>0</v>
      </c>
      <c r="Y232" s="110"/>
      <c r="Z232" s="114">
        <f>IF(Ruimtestaat[[#This Row],[Frequentie weekend]]&gt;0,VALUE(LEFT(Y232,1))*R232,0)</f>
        <v>0</v>
      </c>
      <c r="AA232" s="110">
        <f>IF($Z232&gt;0,VLOOKUP($J232,Ruimtegroepen[],3,FALSE)*VLOOKUP($L232,Vloersoorten[],3,FALSE)*VLOOKUP($Y232,Frequenties[],3,FALSE)*VLOOKUP($A228,Locaties[],3,FALSE),0)</f>
        <v>0</v>
      </c>
      <c r="AB232" s="112">
        <f>Ruimtestaat[[#This Row],[Uitvoeringen weekend]]*Ruimtestaat[[#This Row],[Oppervlak (netto)]]</f>
        <v>0</v>
      </c>
      <c r="AC232" s="115">
        <f>IF(AB232&gt;0,Ruimtestaat[[#This Row],[Prest. (m2 /jaar) weekend]]/Ruimtestaat[[#This Row],[Norm (m2/uur) weekend]],0)</f>
        <v>0</v>
      </c>
      <c r="AD232" s="116">
        <f>Ruimtestaat[[#This Row],[uren / jaar weekend]]*Tariefsopbouw!$D$40</f>
        <v>0</v>
      </c>
      <c r="AE232" s="82">
        <f>Ruimtestaat[[#This Row],[Prest. (m2 /jaar) weekend]]+Ruimtestaat[[#This Row],[Prest. (m2 /jaar) werkdagen]]</f>
        <v>2016</v>
      </c>
      <c r="AF232" s="82">
        <f>Ruimtestaat[[#This Row],[uren / jaar weekend]]+Ruimtestaat[[#This Row],[uren / jaar werkdagen]]</f>
        <v>0</v>
      </c>
      <c r="AG232" s="83">
        <f>Ruimtestaat[[#This Row],[kosten / jaar weekend]]+Ruimtestaat[[#This Row],[kosten / jaar werkdagen]]</f>
        <v>0</v>
      </c>
      <c r="AH232" s="117"/>
      <c r="HL232" s="87"/>
    </row>
    <row r="233" spans="1:220" ht="15" customHeight="1">
      <c r="A233" s="136">
        <v>1</v>
      </c>
      <c r="B233" s="27" t="str">
        <f>VLOOKUP(Ruimtestaat[[#This Row],[Code]],Locaties[#All],2,FALSE)</f>
        <v>Amstelveen College</v>
      </c>
      <c r="C233" s="27" t="str">
        <f>VLOOKUP(Ruimtestaat[[#This Row],[Code]],Locaties[#All],4,FALSE)</f>
        <v>Sportlaan 27</v>
      </c>
      <c r="D233" s="27" t="str">
        <f>VLOOKUP(Ruimtestaat[[#This Row],[Code]],Locaties[#All],5,FALSE)</f>
        <v>1185 TB</v>
      </c>
      <c r="E233" s="27" t="str">
        <f>VLOOKUP(Ruimtestaat[[#This Row],[Code]],Locaties[#All],6,FALSE)</f>
        <v>Amstelveen</v>
      </c>
      <c r="F233" s="74"/>
      <c r="G233" s="27" t="s">
        <v>274</v>
      </c>
      <c r="H233" s="27" t="s">
        <v>338</v>
      </c>
      <c r="I233" s="24" t="s">
        <v>268</v>
      </c>
      <c r="J233" s="27">
        <v>5</v>
      </c>
      <c r="K233" s="74" t="str">
        <f>VLOOKUP(J233,Ruimtegroepen[],2,FALSE)</f>
        <v>Sanitair</v>
      </c>
      <c r="L233" s="27" t="s">
        <v>115</v>
      </c>
      <c r="M233" s="27" t="s">
        <v>271</v>
      </c>
      <c r="N233" s="107">
        <v>8.6</v>
      </c>
      <c r="O233" s="107"/>
      <c r="P233" s="118" t="str">
        <f>LEFT(VLOOKUP(Ruimtestaat[[#This Row],[Ruimte code]],Ruimtegroepen[#All],4,1),2)</f>
        <v xml:space="preserve">S </v>
      </c>
      <c r="Q233" s="118"/>
      <c r="R233" s="108">
        <v>42</v>
      </c>
      <c r="S233" s="109" t="s">
        <v>19</v>
      </c>
      <c r="T233" s="110">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233" s="110">
        <f>IF(T233&gt;0,VLOOKUP($J233,Ruimtegroepen[],3,FALSE)*VLOOKUP($L233,Vloersoorten[],3,FALSE)*VLOOKUP($S233,Frequenties[],3,FALSE)*VLOOKUP($A233,Locaties[],3,FALSE),0)</f>
        <v>0</v>
      </c>
      <c r="V233" s="111">
        <f>Ruimtestaat[[#This Row],[Uitvoeringen werkdagen]]*Ruimtestaat[[#This Row],[Oppervlak (netto)]]</f>
        <v>3612</v>
      </c>
      <c r="W233" s="112">
        <f>IF(U233&gt;0,Ruimtestaat[[#This Row],[Prest. (m2 /jaar) werkdagen]]/Ruimtestaat[[#This Row],[Norm (m2/uur) werkdagen]],0)</f>
        <v>0</v>
      </c>
      <c r="X233" s="113">
        <f>Ruimtestaat[[#This Row],[uren / jaar werkdagen]]*Tariefsopbouw!$E$35</f>
        <v>0</v>
      </c>
      <c r="Y233" s="110"/>
      <c r="Z233" s="114">
        <f>IF(Ruimtestaat[[#This Row],[Frequentie weekend]]&gt;0,VALUE(LEFT(Y233,1))*R233,0)</f>
        <v>0</v>
      </c>
      <c r="AA233" s="110">
        <f>IF($Z233&gt;0,VLOOKUP($J233,Ruimtegroepen[],3,FALSE)*VLOOKUP($L233,Vloersoorten[],3,FALSE)*VLOOKUP($Y233,Frequenties[],3,FALSE)*VLOOKUP($A229,Locaties[],3,FALSE),0)</f>
        <v>0</v>
      </c>
      <c r="AB233" s="112">
        <f>Ruimtestaat[[#This Row],[Uitvoeringen weekend]]*Ruimtestaat[[#This Row],[Oppervlak (netto)]]</f>
        <v>0</v>
      </c>
      <c r="AC233" s="115">
        <f>IF(AB233&gt;0,Ruimtestaat[[#This Row],[Prest. (m2 /jaar) weekend]]/Ruimtestaat[[#This Row],[Norm (m2/uur) weekend]],0)</f>
        <v>0</v>
      </c>
      <c r="AD233" s="116">
        <f>Ruimtestaat[[#This Row],[uren / jaar weekend]]*Tariefsopbouw!$D$40</f>
        <v>0</v>
      </c>
      <c r="AE233" s="82">
        <f>Ruimtestaat[[#This Row],[Prest. (m2 /jaar) weekend]]+Ruimtestaat[[#This Row],[Prest. (m2 /jaar) werkdagen]]</f>
        <v>3612</v>
      </c>
      <c r="AF233" s="82">
        <f>Ruimtestaat[[#This Row],[uren / jaar weekend]]+Ruimtestaat[[#This Row],[uren / jaar werkdagen]]</f>
        <v>0</v>
      </c>
      <c r="AG233" s="83">
        <f>Ruimtestaat[[#This Row],[kosten / jaar weekend]]+Ruimtestaat[[#This Row],[kosten / jaar werkdagen]]</f>
        <v>0</v>
      </c>
      <c r="AH233" s="117"/>
      <c r="HL233" s="87"/>
    </row>
    <row r="234" spans="1:220" ht="15" customHeight="1">
      <c r="A234" s="136">
        <v>1</v>
      </c>
      <c r="B234" s="27" t="str">
        <f>VLOOKUP(Ruimtestaat[[#This Row],[Code]],Locaties[#All],2,FALSE)</f>
        <v>Amstelveen College</v>
      </c>
      <c r="C234" s="27" t="str">
        <f>VLOOKUP(Ruimtestaat[[#This Row],[Code]],Locaties[#All],4,FALSE)</f>
        <v>Sportlaan 27</v>
      </c>
      <c r="D234" s="27" t="str">
        <f>VLOOKUP(Ruimtestaat[[#This Row],[Code]],Locaties[#All],5,FALSE)</f>
        <v>1185 TB</v>
      </c>
      <c r="E234" s="27" t="str">
        <f>VLOOKUP(Ruimtestaat[[#This Row],[Code]],Locaties[#All],6,FALSE)</f>
        <v>Amstelveen</v>
      </c>
      <c r="F234" s="74"/>
      <c r="G234" s="27" t="s">
        <v>274</v>
      </c>
      <c r="H234" s="27" t="s">
        <v>339</v>
      </c>
      <c r="I234" s="24" t="s">
        <v>369</v>
      </c>
      <c r="J234" s="27">
        <v>6</v>
      </c>
      <c r="K234" s="74" t="str">
        <f>VLOOKUP(J234,Ruimtegroepen[],2,FALSE)</f>
        <v>Gangen/hallen</v>
      </c>
      <c r="L234" s="27" t="s">
        <v>114</v>
      </c>
      <c r="M234" s="27" t="s">
        <v>139</v>
      </c>
      <c r="N234" s="107">
        <f>37.5+18.6+28+28+18.6</f>
        <v>130.69999999999999</v>
      </c>
      <c r="O234" s="107"/>
      <c r="P234" s="118" t="str">
        <f>LEFT(VLOOKUP(Ruimtestaat[[#This Row],[Ruimte code]],Ruimtegroepen[#All],4,1),2)</f>
        <v xml:space="preserve">V </v>
      </c>
      <c r="Q234" s="118"/>
      <c r="R234" s="108">
        <v>42</v>
      </c>
      <c r="S234" s="109" t="s">
        <v>2</v>
      </c>
      <c r="T234" s="110">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34" s="110">
        <f>IF(T234&gt;0,VLOOKUP($J234,Ruimtegroepen[],3,FALSE)*VLOOKUP($L234,Vloersoorten[],3,FALSE)*VLOOKUP($S234,Frequenties[],3,FALSE)*VLOOKUP($A234,Locaties[],3,FALSE),0)</f>
        <v>0</v>
      </c>
      <c r="V234" s="111">
        <f>Ruimtestaat[[#This Row],[Uitvoeringen werkdagen]]*Ruimtestaat[[#This Row],[Oppervlak (netto)]]</f>
        <v>27446.999999999996</v>
      </c>
      <c r="W234" s="112">
        <f>IF(U234&gt;0,Ruimtestaat[[#This Row],[Prest. (m2 /jaar) werkdagen]]/Ruimtestaat[[#This Row],[Norm (m2/uur) werkdagen]],0)</f>
        <v>0</v>
      </c>
      <c r="X234" s="113">
        <f>Ruimtestaat[[#This Row],[uren / jaar werkdagen]]*Tariefsopbouw!$E$35</f>
        <v>0</v>
      </c>
      <c r="Y234" s="110"/>
      <c r="Z234" s="114">
        <f>IF(Ruimtestaat[[#This Row],[Frequentie weekend]]&gt;0,VALUE(LEFT(Y234,1))*R234,0)</f>
        <v>0</v>
      </c>
      <c r="AA234" s="110">
        <f>IF($Z234&gt;0,VLOOKUP($J234,Ruimtegroepen[],3,FALSE)*VLOOKUP($L234,Vloersoorten[],3,FALSE)*VLOOKUP($Y234,Frequenties[],3,FALSE)*VLOOKUP($A230,Locaties[],3,FALSE),0)</f>
        <v>0</v>
      </c>
      <c r="AB234" s="112">
        <f>Ruimtestaat[[#This Row],[Uitvoeringen weekend]]*Ruimtestaat[[#This Row],[Oppervlak (netto)]]</f>
        <v>0</v>
      </c>
      <c r="AC234" s="115">
        <f>IF(AB234&gt;0,Ruimtestaat[[#This Row],[Prest. (m2 /jaar) weekend]]/Ruimtestaat[[#This Row],[Norm (m2/uur) weekend]],0)</f>
        <v>0</v>
      </c>
      <c r="AD234" s="116">
        <f>Ruimtestaat[[#This Row],[uren / jaar weekend]]*Tariefsopbouw!$D$40</f>
        <v>0</v>
      </c>
      <c r="AE234" s="82">
        <f>Ruimtestaat[[#This Row],[Prest. (m2 /jaar) weekend]]+Ruimtestaat[[#This Row],[Prest. (m2 /jaar) werkdagen]]</f>
        <v>27446.999999999996</v>
      </c>
      <c r="AF234" s="82">
        <f>Ruimtestaat[[#This Row],[uren / jaar weekend]]+Ruimtestaat[[#This Row],[uren / jaar werkdagen]]</f>
        <v>0</v>
      </c>
      <c r="AG234" s="83">
        <f>Ruimtestaat[[#This Row],[kosten / jaar weekend]]+Ruimtestaat[[#This Row],[kosten / jaar werkdagen]]</f>
        <v>0</v>
      </c>
      <c r="AH234" s="117"/>
      <c r="HL234" s="87"/>
    </row>
    <row r="235" spans="1:220" ht="15" customHeight="1">
      <c r="A235" s="136">
        <v>1</v>
      </c>
      <c r="B235" s="27" t="str">
        <f>VLOOKUP(Ruimtestaat[[#This Row],[Code]],Locaties[#All],2,FALSE)</f>
        <v>Amstelveen College</v>
      </c>
      <c r="C235" s="27" t="str">
        <f>VLOOKUP(Ruimtestaat[[#This Row],[Code]],Locaties[#All],4,FALSE)</f>
        <v>Sportlaan 27</v>
      </c>
      <c r="D235" s="27" t="str">
        <f>VLOOKUP(Ruimtestaat[[#This Row],[Code]],Locaties[#All],5,FALSE)</f>
        <v>1185 TB</v>
      </c>
      <c r="E235" s="27" t="str">
        <f>VLOOKUP(Ruimtestaat[[#This Row],[Code]],Locaties[#All],6,FALSE)</f>
        <v>Amstelveen</v>
      </c>
      <c r="F235" s="74"/>
      <c r="G235" s="27" t="s">
        <v>274</v>
      </c>
      <c r="H235" s="27" t="s">
        <v>340</v>
      </c>
      <c r="I235" s="24" t="s">
        <v>270</v>
      </c>
      <c r="J235" s="27">
        <v>5</v>
      </c>
      <c r="K235" s="74" t="str">
        <f>VLOOKUP(J235,Ruimtegroepen[],2,FALSE)</f>
        <v>Sanitair</v>
      </c>
      <c r="L235" s="27" t="s">
        <v>115</v>
      </c>
      <c r="M235" s="27" t="s">
        <v>271</v>
      </c>
      <c r="N235" s="107">
        <v>4.2</v>
      </c>
      <c r="O235" s="107"/>
      <c r="P235" s="118" t="str">
        <f>LEFT(VLOOKUP(Ruimtestaat[[#This Row],[Ruimte code]],Ruimtegroepen[#All],4,1),2)</f>
        <v xml:space="preserve">S </v>
      </c>
      <c r="Q235" s="118"/>
      <c r="R235" s="108">
        <v>42</v>
      </c>
      <c r="S235" s="109" t="s">
        <v>19</v>
      </c>
      <c r="T235" s="110">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235" s="110">
        <f>IF(T235&gt;0,VLOOKUP($J235,Ruimtegroepen[],3,FALSE)*VLOOKUP($L235,Vloersoorten[],3,FALSE)*VLOOKUP($S235,Frequenties[],3,FALSE)*VLOOKUP($A235,Locaties[],3,FALSE),0)</f>
        <v>0</v>
      </c>
      <c r="V235" s="111">
        <f>Ruimtestaat[[#This Row],[Uitvoeringen werkdagen]]*Ruimtestaat[[#This Row],[Oppervlak (netto)]]</f>
        <v>1764</v>
      </c>
      <c r="W235" s="112">
        <f>IF(U235&gt;0,Ruimtestaat[[#This Row],[Prest. (m2 /jaar) werkdagen]]/Ruimtestaat[[#This Row],[Norm (m2/uur) werkdagen]],0)</f>
        <v>0</v>
      </c>
      <c r="X235" s="113">
        <f>Ruimtestaat[[#This Row],[uren / jaar werkdagen]]*Tariefsopbouw!$E$35</f>
        <v>0</v>
      </c>
      <c r="Y235" s="110"/>
      <c r="Z235" s="114">
        <f>IF(Ruimtestaat[[#This Row],[Frequentie weekend]]&gt;0,VALUE(LEFT(Y235,1))*R235,0)</f>
        <v>0</v>
      </c>
      <c r="AA235" s="110">
        <f>IF($Z235&gt;0,VLOOKUP($J235,Ruimtegroepen[],3,FALSE)*VLOOKUP($L235,Vloersoorten[],3,FALSE)*VLOOKUP($Y235,Frequenties[],3,FALSE)*VLOOKUP($A231,Locaties[],3,FALSE),0)</f>
        <v>0</v>
      </c>
      <c r="AB235" s="112">
        <f>Ruimtestaat[[#This Row],[Uitvoeringen weekend]]*Ruimtestaat[[#This Row],[Oppervlak (netto)]]</f>
        <v>0</v>
      </c>
      <c r="AC235" s="115">
        <f>IF(AB235&gt;0,Ruimtestaat[[#This Row],[Prest. (m2 /jaar) weekend]]/Ruimtestaat[[#This Row],[Norm (m2/uur) weekend]],0)</f>
        <v>0</v>
      </c>
      <c r="AD235" s="116">
        <f>Ruimtestaat[[#This Row],[uren / jaar weekend]]*Tariefsopbouw!$D$40</f>
        <v>0</v>
      </c>
      <c r="AE235" s="82">
        <f>Ruimtestaat[[#This Row],[Prest. (m2 /jaar) weekend]]+Ruimtestaat[[#This Row],[Prest. (m2 /jaar) werkdagen]]</f>
        <v>1764</v>
      </c>
      <c r="AF235" s="82">
        <f>Ruimtestaat[[#This Row],[uren / jaar weekend]]+Ruimtestaat[[#This Row],[uren / jaar werkdagen]]</f>
        <v>0</v>
      </c>
      <c r="AG235" s="83">
        <f>Ruimtestaat[[#This Row],[kosten / jaar weekend]]+Ruimtestaat[[#This Row],[kosten / jaar werkdagen]]</f>
        <v>0</v>
      </c>
      <c r="AH235" s="117"/>
      <c r="HL235" s="87"/>
    </row>
    <row r="236" spans="1:220" ht="15" customHeight="1">
      <c r="A236" s="136">
        <v>1</v>
      </c>
      <c r="B236" s="27" t="str">
        <f>VLOOKUP(Ruimtestaat[[#This Row],[Code]],Locaties[#All],2,FALSE)</f>
        <v>Amstelveen College</v>
      </c>
      <c r="C236" s="27" t="str">
        <f>VLOOKUP(Ruimtestaat[[#This Row],[Code]],Locaties[#All],4,FALSE)</f>
        <v>Sportlaan 27</v>
      </c>
      <c r="D236" s="27" t="str">
        <f>VLOOKUP(Ruimtestaat[[#This Row],[Code]],Locaties[#All],5,FALSE)</f>
        <v>1185 TB</v>
      </c>
      <c r="E236" s="27" t="str">
        <f>VLOOKUP(Ruimtestaat[[#This Row],[Code]],Locaties[#All],6,FALSE)</f>
        <v>Amstelveen</v>
      </c>
      <c r="F236" s="74"/>
      <c r="G236" s="27" t="s">
        <v>274</v>
      </c>
      <c r="H236" s="27" t="s">
        <v>341</v>
      </c>
      <c r="I236" s="24" t="s">
        <v>372</v>
      </c>
      <c r="J236" s="27">
        <v>20</v>
      </c>
      <c r="K236" s="74" t="str">
        <f>VLOOKUP(J236,Ruimtegroepen[],2,FALSE)</f>
        <v>Niet in onderhoud</v>
      </c>
      <c r="L236" s="27" t="s">
        <v>114</v>
      </c>
      <c r="M236" s="27" t="s">
        <v>139</v>
      </c>
      <c r="O236" s="107">
        <v>6.3</v>
      </c>
      <c r="P236" s="118" t="str">
        <f>LEFT(VLOOKUP(Ruimtestaat[[#This Row],[Ruimte code]],Ruimtegroepen[#All],4,1),2)</f>
        <v/>
      </c>
      <c r="Q236" s="118"/>
      <c r="R236" s="108">
        <v>0</v>
      </c>
      <c r="S236" s="109"/>
      <c r="T236" s="110">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6" s="110">
        <f>IF(T236&gt;0,VLOOKUP($J236,Ruimtegroepen[],3,FALSE)*VLOOKUP($L236,Vloersoorten[],3,FALSE)*VLOOKUP($S236,Frequenties[],3,FALSE)*VLOOKUP($A236,Locaties[],3,FALSE),0)</f>
        <v>0</v>
      </c>
      <c r="V236" s="111">
        <f>Ruimtestaat[[#This Row],[Uitvoeringen werkdagen]]*Ruimtestaat[[#This Row],[Oppervlak (netto)]]</f>
        <v>0</v>
      </c>
      <c r="W236" s="112">
        <f>IF(U236&gt;0,Ruimtestaat[[#This Row],[Prest. (m2 /jaar) werkdagen]]/Ruimtestaat[[#This Row],[Norm (m2/uur) werkdagen]],0)</f>
        <v>0</v>
      </c>
      <c r="X236" s="113">
        <f>Ruimtestaat[[#This Row],[uren / jaar werkdagen]]*Tariefsopbouw!$E$35</f>
        <v>0</v>
      </c>
      <c r="Y236" s="110"/>
      <c r="Z236" s="114">
        <f>IF(Ruimtestaat[[#This Row],[Frequentie weekend]]&gt;0,VALUE(LEFT(Y236,1))*R236,0)</f>
        <v>0</v>
      </c>
      <c r="AA236" s="110">
        <f>IF($Z236&gt;0,VLOOKUP($J236,Ruimtegroepen[],3,FALSE)*VLOOKUP($L236,Vloersoorten[],3,FALSE)*VLOOKUP($Y236,Frequenties[],3,FALSE)*VLOOKUP($A232,Locaties[],3,FALSE),0)</f>
        <v>0</v>
      </c>
      <c r="AB236" s="112">
        <f>Ruimtestaat[[#This Row],[Uitvoeringen weekend]]*Ruimtestaat[[#This Row],[Oppervlak (netto)]]</f>
        <v>0</v>
      </c>
      <c r="AC236" s="115">
        <f>IF(AB236&gt;0,Ruimtestaat[[#This Row],[Prest. (m2 /jaar) weekend]]/Ruimtestaat[[#This Row],[Norm (m2/uur) weekend]],0)</f>
        <v>0</v>
      </c>
      <c r="AD236" s="116">
        <f>Ruimtestaat[[#This Row],[uren / jaar weekend]]*Tariefsopbouw!$D$40</f>
        <v>0</v>
      </c>
      <c r="AE236" s="82">
        <f>Ruimtestaat[[#This Row],[Prest. (m2 /jaar) weekend]]+Ruimtestaat[[#This Row],[Prest. (m2 /jaar) werkdagen]]</f>
        <v>0</v>
      </c>
      <c r="AF236" s="82">
        <f>Ruimtestaat[[#This Row],[uren / jaar weekend]]+Ruimtestaat[[#This Row],[uren / jaar werkdagen]]</f>
        <v>0</v>
      </c>
      <c r="AG236" s="83">
        <f>Ruimtestaat[[#This Row],[kosten / jaar weekend]]+Ruimtestaat[[#This Row],[kosten / jaar werkdagen]]</f>
        <v>0</v>
      </c>
      <c r="AH236" s="117"/>
      <c r="HL236" s="87"/>
    </row>
    <row r="237" spans="1:220" ht="15" customHeight="1">
      <c r="A237" s="136">
        <v>1</v>
      </c>
      <c r="B237" s="27" t="str">
        <f>VLOOKUP(Ruimtestaat[[#This Row],[Code]],Locaties[#All],2,FALSE)</f>
        <v>Amstelveen College</v>
      </c>
      <c r="C237" s="27" t="str">
        <f>VLOOKUP(Ruimtestaat[[#This Row],[Code]],Locaties[#All],4,FALSE)</f>
        <v>Sportlaan 27</v>
      </c>
      <c r="D237" s="27" t="str">
        <f>VLOOKUP(Ruimtestaat[[#This Row],[Code]],Locaties[#All],5,FALSE)</f>
        <v>1185 TB</v>
      </c>
      <c r="E237" s="27" t="str">
        <f>VLOOKUP(Ruimtestaat[[#This Row],[Code]],Locaties[#All],6,FALSE)</f>
        <v>Amstelveen</v>
      </c>
      <c r="F237" s="74"/>
      <c r="G237" s="27" t="s">
        <v>274</v>
      </c>
      <c r="H237" s="27" t="s">
        <v>342</v>
      </c>
      <c r="I237" s="24" t="s">
        <v>372</v>
      </c>
      <c r="J237" s="27">
        <v>20</v>
      </c>
      <c r="K237" s="74" t="str">
        <f>VLOOKUP(J237,Ruimtegroepen[],2,FALSE)</f>
        <v>Niet in onderhoud</v>
      </c>
      <c r="L237" s="27" t="s">
        <v>114</v>
      </c>
      <c r="M237" s="27" t="s">
        <v>139</v>
      </c>
      <c r="O237" s="107">
        <v>6.3</v>
      </c>
      <c r="P237" s="118" t="str">
        <f>LEFT(VLOOKUP(Ruimtestaat[[#This Row],[Ruimte code]],Ruimtegroepen[#All],4,1),2)</f>
        <v/>
      </c>
      <c r="Q237" s="118"/>
      <c r="R237" s="108">
        <v>0</v>
      </c>
      <c r="S237" s="109"/>
      <c r="T237" s="110">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37" s="110">
        <f>IF(T237&gt;0,VLOOKUP($J237,Ruimtegroepen[],3,FALSE)*VLOOKUP($L237,Vloersoorten[],3,FALSE)*VLOOKUP($S237,Frequenties[],3,FALSE)*VLOOKUP($A237,Locaties[],3,FALSE),0)</f>
        <v>0</v>
      </c>
      <c r="V237" s="111">
        <f>Ruimtestaat[[#This Row],[Uitvoeringen werkdagen]]*Ruimtestaat[[#This Row],[Oppervlak (netto)]]</f>
        <v>0</v>
      </c>
      <c r="W237" s="112">
        <f>IF(U237&gt;0,Ruimtestaat[[#This Row],[Prest. (m2 /jaar) werkdagen]]/Ruimtestaat[[#This Row],[Norm (m2/uur) werkdagen]],0)</f>
        <v>0</v>
      </c>
      <c r="X237" s="113">
        <f>Ruimtestaat[[#This Row],[uren / jaar werkdagen]]*Tariefsopbouw!$E$35</f>
        <v>0</v>
      </c>
      <c r="Y237" s="110"/>
      <c r="Z237" s="114">
        <f>IF(Ruimtestaat[[#This Row],[Frequentie weekend]]&gt;0,VALUE(LEFT(Y237,1))*R237,0)</f>
        <v>0</v>
      </c>
      <c r="AA237" s="110">
        <f>IF($Z237&gt;0,VLOOKUP($J237,Ruimtegroepen[],3,FALSE)*VLOOKUP($L237,Vloersoorten[],3,FALSE)*VLOOKUP($Y237,Frequenties[],3,FALSE)*VLOOKUP($A233,Locaties[],3,FALSE),0)</f>
        <v>0</v>
      </c>
      <c r="AB237" s="112">
        <f>Ruimtestaat[[#This Row],[Uitvoeringen weekend]]*Ruimtestaat[[#This Row],[Oppervlak (netto)]]</f>
        <v>0</v>
      </c>
      <c r="AC237" s="115">
        <f>IF(AB237&gt;0,Ruimtestaat[[#This Row],[Prest. (m2 /jaar) weekend]]/Ruimtestaat[[#This Row],[Norm (m2/uur) weekend]],0)</f>
        <v>0</v>
      </c>
      <c r="AD237" s="116">
        <f>Ruimtestaat[[#This Row],[uren / jaar weekend]]*Tariefsopbouw!$D$40</f>
        <v>0</v>
      </c>
      <c r="AE237" s="82">
        <f>Ruimtestaat[[#This Row],[Prest. (m2 /jaar) weekend]]+Ruimtestaat[[#This Row],[Prest. (m2 /jaar) werkdagen]]</f>
        <v>0</v>
      </c>
      <c r="AF237" s="82">
        <f>Ruimtestaat[[#This Row],[uren / jaar weekend]]+Ruimtestaat[[#This Row],[uren / jaar werkdagen]]</f>
        <v>0</v>
      </c>
      <c r="AG237" s="83">
        <f>Ruimtestaat[[#This Row],[kosten / jaar weekend]]+Ruimtestaat[[#This Row],[kosten / jaar werkdagen]]</f>
        <v>0</v>
      </c>
      <c r="AH237" s="117"/>
      <c r="HL237" s="87"/>
    </row>
    <row r="238" spans="1:220" ht="15" customHeight="1">
      <c r="A238" s="136">
        <v>1</v>
      </c>
      <c r="B238" s="27" t="str">
        <f>VLOOKUP(Ruimtestaat[[#This Row],[Code]],Locaties[#All],2,FALSE)</f>
        <v>Amstelveen College</v>
      </c>
      <c r="C238" s="27" t="str">
        <f>VLOOKUP(Ruimtestaat[[#This Row],[Code]],Locaties[#All],4,FALSE)</f>
        <v>Sportlaan 27</v>
      </c>
      <c r="D238" s="27" t="str">
        <f>VLOOKUP(Ruimtestaat[[#This Row],[Code]],Locaties[#All],5,FALSE)</f>
        <v>1185 TB</v>
      </c>
      <c r="E238" s="27" t="str">
        <f>VLOOKUP(Ruimtestaat[[#This Row],[Code]],Locaties[#All],6,FALSE)</f>
        <v>Amstelveen</v>
      </c>
      <c r="F238" s="74"/>
      <c r="G238" s="27" t="s">
        <v>274</v>
      </c>
      <c r="H238" s="27" t="s">
        <v>343</v>
      </c>
      <c r="I238" s="24" t="s">
        <v>269</v>
      </c>
      <c r="J238" s="27">
        <v>5</v>
      </c>
      <c r="K238" s="74" t="str">
        <f>VLOOKUP(J238,Ruimtegroepen[],2,FALSE)</f>
        <v>Sanitair</v>
      </c>
      <c r="L238" s="27" t="s">
        <v>115</v>
      </c>
      <c r="M238" s="27" t="s">
        <v>271</v>
      </c>
      <c r="N238" s="107">
        <v>8.9</v>
      </c>
      <c r="O238" s="107"/>
      <c r="P238" s="118" t="str">
        <f>LEFT(VLOOKUP(Ruimtestaat[[#This Row],[Ruimte code]],Ruimtegroepen[#All],4,1),2)</f>
        <v xml:space="preserve">S </v>
      </c>
      <c r="Q238" s="118"/>
      <c r="R238" s="108">
        <v>42</v>
      </c>
      <c r="S238" s="109" t="s">
        <v>19</v>
      </c>
      <c r="T238" s="110">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238" s="110">
        <f>IF(T238&gt;0,VLOOKUP($J238,Ruimtegroepen[],3,FALSE)*VLOOKUP($L238,Vloersoorten[],3,FALSE)*VLOOKUP($S238,Frequenties[],3,FALSE)*VLOOKUP($A238,Locaties[],3,FALSE),0)</f>
        <v>0</v>
      </c>
      <c r="V238" s="111">
        <f>Ruimtestaat[[#This Row],[Uitvoeringen werkdagen]]*Ruimtestaat[[#This Row],[Oppervlak (netto)]]</f>
        <v>3738</v>
      </c>
      <c r="W238" s="112">
        <f>IF(U238&gt;0,Ruimtestaat[[#This Row],[Prest. (m2 /jaar) werkdagen]]/Ruimtestaat[[#This Row],[Norm (m2/uur) werkdagen]],0)</f>
        <v>0</v>
      </c>
      <c r="X238" s="113">
        <f>Ruimtestaat[[#This Row],[uren / jaar werkdagen]]*Tariefsopbouw!$E$35</f>
        <v>0</v>
      </c>
      <c r="Y238" s="110"/>
      <c r="Z238" s="114">
        <f>IF(Ruimtestaat[[#This Row],[Frequentie weekend]]&gt;0,VALUE(LEFT(Y238,1))*R238,0)</f>
        <v>0</v>
      </c>
      <c r="AA238" s="110">
        <f>IF($Z238&gt;0,VLOOKUP($J238,Ruimtegroepen[],3,FALSE)*VLOOKUP($L238,Vloersoorten[],3,FALSE)*VLOOKUP($Y238,Frequenties[],3,FALSE)*VLOOKUP($A234,Locaties[],3,FALSE),0)</f>
        <v>0</v>
      </c>
      <c r="AB238" s="112">
        <f>Ruimtestaat[[#This Row],[Uitvoeringen weekend]]*Ruimtestaat[[#This Row],[Oppervlak (netto)]]</f>
        <v>0</v>
      </c>
      <c r="AC238" s="115">
        <f>IF(AB238&gt;0,Ruimtestaat[[#This Row],[Prest. (m2 /jaar) weekend]]/Ruimtestaat[[#This Row],[Norm (m2/uur) weekend]],0)</f>
        <v>0</v>
      </c>
      <c r="AD238" s="116">
        <f>Ruimtestaat[[#This Row],[uren / jaar weekend]]*Tariefsopbouw!$D$40</f>
        <v>0</v>
      </c>
      <c r="AE238" s="82">
        <f>Ruimtestaat[[#This Row],[Prest. (m2 /jaar) weekend]]+Ruimtestaat[[#This Row],[Prest. (m2 /jaar) werkdagen]]</f>
        <v>3738</v>
      </c>
      <c r="AF238" s="82">
        <f>Ruimtestaat[[#This Row],[uren / jaar weekend]]+Ruimtestaat[[#This Row],[uren / jaar werkdagen]]</f>
        <v>0</v>
      </c>
      <c r="AG238" s="83">
        <f>Ruimtestaat[[#This Row],[kosten / jaar weekend]]+Ruimtestaat[[#This Row],[kosten / jaar werkdagen]]</f>
        <v>0</v>
      </c>
      <c r="AH238" s="117"/>
      <c r="HL238" s="87"/>
    </row>
    <row r="239" spans="1:220" ht="15" customHeight="1">
      <c r="A239" s="136">
        <v>1</v>
      </c>
      <c r="B239" s="27" t="str">
        <f>VLOOKUP(Ruimtestaat[[#This Row],[Code]],Locaties[#All],2,FALSE)</f>
        <v>Amstelveen College</v>
      </c>
      <c r="C239" s="27" t="str">
        <f>VLOOKUP(Ruimtestaat[[#This Row],[Code]],Locaties[#All],4,FALSE)</f>
        <v>Sportlaan 27</v>
      </c>
      <c r="D239" s="27" t="str">
        <f>VLOOKUP(Ruimtestaat[[#This Row],[Code]],Locaties[#All],5,FALSE)</f>
        <v>1185 TB</v>
      </c>
      <c r="E239" s="27" t="str">
        <f>VLOOKUP(Ruimtestaat[[#This Row],[Code]],Locaties[#All],6,FALSE)</f>
        <v>Amstelveen</v>
      </c>
      <c r="F239" s="74"/>
      <c r="G239" s="27" t="s">
        <v>274</v>
      </c>
      <c r="H239" s="27" t="s">
        <v>344</v>
      </c>
      <c r="I239" s="24" t="s">
        <v>268</v>
      </c>
      <c r="J239" s="27">
        <v>5</v>
      </c>
      <c r="K239" s="74" t="str">
        <f>VLOOKUP(J239,Ruimtegroepen[],2,FALSE)</f>
        <v>Sanitair</v>
      </c>
      <c r="L239" s="27" t="s">
        <v>115</v>
      </c>
      <c r="M239" s="27" t="s">
        <v>271</v>
      </c>
      <c r="N239" s="107">
        <v>8.9</v>
      </c>
      <c r="O239" s="107"/>
      <c r="P239" s="118" t="str">
        <f>LEFT(VLOOKUP(Ruimtestaat[[#This Row],[Ruimte code]],Ruimtegroepen[#All],4,1),2)</f>
        <v xml:space="preserve">S </v>
      </c>
      <c r="Q239" s="118"/>
      <c r="R239" s="108">
        <v>42</v>
      </c>
      <c r="S239" s="109" t="s">
        <v>19</v>
      </c>
      <c r="T239" s="110">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420</v>
      </c>
      <c r="U239" s="110">
        <f>IF(T239&gt;0,VLOOKUP($J239,Ruimtegroepen[],3,FALSE)*VLOOKUP($L239,Vloersoorten[],3,FALSE)*VLOOKUP($S239,Frequenties[],3,FALSE)*VLOOKUP($A239,Locaties[],3,FALSE),0)</f>
        <v>0</v>
      </c>
      <c r="V239" s="111">
        <f>Ruimtestaat[[#This Row],[Uitvoeringen werkdagen]]*Ruimtestaat[[#This Row],[Oppervlak (netto)]]</f>
        <v>3738</v>
      </c>
      <c r="W239" s="112">
        <f>IF(U239&gt;0,Ruimtestaat[[#This Row],[Prest. (m2 /jaar) werkdagen]]/Ruimtestaat[[#This Row],[Norm (m2/uur) werkdagen]],0)</f>
        <v>0</v>
      </c>
      <c r="X239" s="113">
        <f>Ruimtestaat[[#This Row],[uren / jaar werkdagen]]*Tariefsopbouw!$E$35</f>
        <v>0</v>
      </c>
      <c r="Y239" s="110"/>
      <c r="Z239" s="114">
        <f>IF(Ruimtestaat[[#This Row],[Frequentie weekend]]&gt;0,VALUE(LEFT(Y239,1))*R239,0)</f>
        <v>0</v>
      </c>
      <c r="AA239" s="110">
        <f>IF($Z239&gt;0,VLOOKUP($J239,Ruimtegroepen[],3,FALSE)*VLOOKUP($L239,Vloersoorten[],3,FALSE)*VLOOKUP($Y239,Frequenties[],3,FALSE)*VLOOKUP($A235,Locaties[],3,FALSE),0)</f>
        <v>0</v>
      </c>
      <c r="AB239" s="112">
        <f>Ruimtestaat[[#This Row],[Uitvoeringen weekend]]*Ruimtestaat[[#This Row],[Oppervlak (netto)]]</f>
        <v>0</v>
      </c>
      <c r="AC239" s="115">
        <f>IF(AB239&gt;0,Ruimtestaat[[#This Row],[Prest. (m2 /jaar) weekend]]/Ruimtestaat[[#This Row],[Norm (m2/uur) weekend]],0)</f>
        <v>0</v>
      </c>
      <c r="AD239" s="116">
        <f>Ruimtestaat[[#This Row],[uren / jaar weekend]]*Tariefsopbouw!$D$40</f>
        <v>0</v>
      </c>
      <c r="AE239" s="82">
        <f>Ruimtestaat[[#This Row],[Prest. (m2 /jaar) weekend]]+Ruimtestaat[[#This Row],[Prest. (m2 /jaar) werkdagen]]</f>
        <v>3738</v>
      </c>
      <c r="AF239" s="82">
        <f>Ruimtestaat[[#This Row],[uren / jaar weekend]]+Ruimtestaat[[#This Row],[uren / jaar werkdagen]]</f>
        <v>0</v>
      </c>
      <c r="AG239" s="83">
        <f>Ruimtestaat[[#This Row],[kosten / jaar weekend]]+Ruimtestaat[[#This Row],[kosten / jaar werkdagen]]</f>
        <v>0</v>
      </c>
      <c r="AH239" s="117"/>
      <c r="HL239" s="87"/>
    </row>
    <row r="240" spans="1:220" ht="15" customHeight="1">
      <c r="A240" s="136">
        <v>1</v>
      </c>
      <c r="B240" s="27" t="str">
        <f>VLOOKUP(Ruimtestaat[[#This Row],[Code]],Locaties[#All],2,FALSE)</f>
        <v>Amstelveen College</v>
      </c>
      <c r="C240" s="27" t="str">
        <f>VLOOKUP(Ruimtestaat[[#This Row],[Code]],Locaties[#All],4,FALSE)</f>
        <v>Sportlaan 27</v>
      </c>
      <c r="D240" s="27" t="str">
        <f>VLOOKUP(Ruimtestaat[[#This Row],[Code]],Locaties[#All],5,FALSE)</f>
        <v>1185 TB</v>
      </c>
      <c r="E240" s="27" t="str">
        <f>VLOOKUP(Ruimtestaat[[#This Row],[Code]],Locaties[#All],6,FALSE)</f>
        <v>Amstelveen</v>
      </c>
      <c r="F240" s="74"/>
      <c r="G240" s="27" t="s">
        <v>274</v>
      </c>
      <c r="H240" s="27" t="s">
        <v>345</v>
      </c>
      <c r="I240" s="24" t="s">
        <v>369</v>
      </c>
      <c r="J240" s="27">
        <v>6</v>
      </c>
      <c r="K240" s="74" t="str">
        <f>VLOOKUP(J240,Ruimtegroepen[],2,FALSE)</f>
        <v>Gangen/hallen</v>
      </c>
      <c r="L240" s="27" t="s">
        <v>114</v>
      </c>
      <c r="M240" s="27" t="s">
        <v>139</v>
      </c>
      <c r="N240" s="107">
        <v>125.6</v>
      </c>
      <c r="O240" s="107"/>
      <c r="P240" s="118" t="str">
        <f>LEFT(VLOOKUP(Ruimtestaat[[#This Row],[Ruimte code]],Ruimtegroepen[#All],4,1),2)</f>
        <v xml:space="preserve">V </v>
      </c>
      <c r="Q240" s="118"/>
      <c r="R240" s="108">
        <v>42</v>
      </c>
      <c r="S240" s="109" t="s">
        <v>2</v>
      </c>
      <c r="T240" s="110">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40" s="110">
        <f>IF(T240&gt;0,VLOOKUP($J240,Ruimtegroepen[],3,FALSE)*VLOOKUP($L240,Vloersoorten[],3,FALSE)*VLOOKUP($S240,Frequenties[],3,FALSE)*VLOOKUP($A240,Locaties[],3,FALSE),0)</f>
        <v>0</v>
      </c>
      <c r="V240" s="111">
        <f>Ruimtestaat[[#This Row],[Uitvoeringen werkdagen]]*Ruimtestaat[[#This Row],[Oppervlak (netto)]]</f>
        <v>26376</v>
      </c>
      <c r="W240" s="112">
        <f>IF(U240&gt;0,Ruimtestaat[[#This Row],[Prest. (m2 /jaar) werkdagen]]/Ruimtestaat[[#This Row],[Norm (m2/uur) werkdagen]],0)</f>
        <v>0</v>
      </c>
      <c r="X240" s="113">
        <f>Ruimtestaat[[#This Row],[uren / jaar werkdagen]]*Tariefsopbouw!$E$35</f>
        <v>0</v>
      </c>
      <c r="Y240" s="110"/>
      <c r="Z240" s="114">
        <f>IF(Ruimtestaat[[#This Row],[Frequentie weekend]]&gt;0,VALUE(LEFT(Y240,1))*R240,0)</f>
        <v>0</v>
      </c>
      <c r="AA240" s="110">
        <f>IF($Z240&gt;0,VLOOKUP($J240,Ruimtegroepen[],3,FALSE)*VLOOKUP($L240,Vloersoorten[],3,FALSE)*VLOOKUP($Y240,Frequenties[],3,FALSE)*VLOOKUP($A236,Locaties[],3,FALSE),0)</f>
        <v>0</v>
      </c>
      <c r="AB240" s="112">
        <f>Ruimtestaat[[#This Row],[Uitvoeringen weekend]]*Ruimtestaat[[#This Row],[Oppervlak (netto)]]</f>
        <v>0</v>
      </c>
      <c r="AC240" s="115">
        <f>IF(AB240&gt;0,Ruimtestaat[[#This Row],[Prest. (m2 /jaar) weekend]]/Ruimtestaat[[#This Row],[Norm (m2/uur) weekend]],0)</f>
        <v>0</v>
      </c>
      <c r="AD240" s="116">
        <f>Ruimtestaat[[#This Row],[uren / jaar weekend]]*Tariefsopbouw!$D$40</f>
        <v>0</v>
      </c>
      <c r="AE240" s="82">
        <f>Ruimtestaat[[#This Row],[Prest. (m2 /jaar) weekend]]+Ruimtestaat[[#This Row],[Prest. (m2 /jaar) werkdagen]]</f>
        <v>26376</v>
      </c>
      <c r="AF240" s="82">
        <f>Ruimtestaat[[#This Row],[uren / jaar weekend]]+Ruimtestaat[[#This Row],[uren / jaar werkdagen]]</f>
        <v>0</v>
      </c>
      <c r="AG240" s="83">
        <f>Ruimtestaat[[#This Row],[kosten / jaar weekend]]+Ruimtestaat[[#This Row],[kosten / jaar werkdagen]]</f>
        <v>0</v>
      </c>
      <c r="AH240" s="117"/>
      <c r="HL240" s="87"/>
    </row>
    <row r="241" spans="1:220" ht="15" customHeight="1">
      <c r="A241" s="136">
        <v>1</v>
      </c>
      <c r="B241" s="27" t="str">
        <f>VLOOKUP(Ruimtestaat[[#This Row],[Code]],Locaties[#All],2,FALSE)</f>
        <v>Amstelveen College</v>
      </c>
      <c r="C241" s="27" t="str">
        <f>VLOOKUP(Ruimtestaat[[#This Row],[Code]],Locaties[#All],4,FALSE)</f>
        <v>Sportlaan 27</v>
      </c>
      <c r="D241" s="27" t="str">
        <f>VLOOKUP(Ruimtestaat[[#This Row],[Code]],Locaties[#All],5,FALSE)</f>
        <v>1185 TB</v>
      </c>
      <c r="E241" s="27" t="str">
        <f>VLOOKUP(Ruimtestaat[[#This Row],[Code]],Locaties[#All],6,FALSE)</f>
        <v>Amstelveen</v>
      </c>
      <c r="F241" s="74"/>
      <c r="G241" s="27" t="s">
        <v>274</v>
      </c>
      <c r="H241" s="27" t="s">
        <v>346</v>
      </c>
      <c r="I241" s="24" t="s">
        <v>373</v>
      </c>
      <c r="J241" s="27">
        <v>6</v>
      </c>
      <c r="K241" s="74" t="str">
        <f>VLOOKUP(J241,Ruimtegroepen[],2,FALSE)</f>
        <v>Gangen/hallen</v>
      </c>
      <c r="L241" s="27" t="s">
        <v>113</v>
      </c>
      <c r="M241" s="27" t="s">
        <v>39</v>
      </c>
      <c r="N241" s="107">
        <v>8.1</v>
      </c>
      <c r="O241" s="107"/>
      <c r="P241" s="118" t="str">
        <f>LEFT(VLOOKUP(Ruimtestaat[[#This Row],[Ruimte code]],Ruimtegroepen[#All],4,1),2)</f>
        <v xml:space="preserve">V </v>
      </c>
      <c r="Q241" s="118"/>
      <c r="R241" s="108">
        <v>42</v>
      </c>
      <c r="S241" s="109" t="s">
        <v>2</v>
      </c>
      <c r="T241" s="110">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41" s="110">
        <f>IF(T241&gt;0,VLOOKUP($J241,Ruimtegroepen[],3,FALSE)*VLOOKUP($L241,Vloersoorten[],3,FALSE)*VLOOKUP($S241,Frequenties[],3,FALSE)*VLOOKUP($A241,Locaties[],3,FALSE),0)</f>
        <v>0</v>
      </c>
      <c r="V241" s="111">
        <f>Ruimtestaat[[#This Row],[Uitvoeringen werkdagen]]*Ruimtestaat[[#This Row],[Oppervlak (netto)]]</f>
        <v>1701</v>
      </c>
      <c r="W241" s="112">
        <f>IF(U241&gt;0,Ruimtestaat[[#This Row],[Prest. (m2 /jaar) werkdagen]]/Ruimtestaat[[#This Row],[Norm (m2/uur) werkdagen]],0)</f>
        <v>0</v>
      </c>
      <c r="X241" s="113">
        <f>Ruimtestaat[[#This Row],[uren / jaar werkdagen]]*Tariefsopbouw!$E$35</f>
        <v>0</v>
      </c>
      <c r="Y241" s="110"/>
      <c r="Z241" s="114">
        <f>IF(Ruimtestaat[[#This Row],[Frequentie weekend]]&gt;0,VALUE(LEFT(Y241,1))*R241,0)</f>
        <v>0</v>
      </c>
      <c r="AA241" s="110">
        <f>IF($Z241&gt;0,VLOOKUP($J241,Ruimtegroepen[],3,FALSE)*VLOOKUP($L241,Vloersoorten[],3,FALSE)*VLOOKUP($Y241,Frequenties[],3,FALSE)*VLOOKUP($A237,Locaties[],3,FALSE),0)</f>
        <v>0</v>
      </c>
      <c r="AB241" s="112">
        <f>Ruimtestaat[[#This Row],[Uitvoeringen weekend]]*Ruimtestaat[[#This Row],[Oppervlak (netto)]]</f>
        <v>0</v>
      </c>
      <c r="AC241" s="115">
        <f>IF(AB241&gt;0,Ruimtestaat[[#This Row],[Prest. (m2 /jaar) weekend]]/Ruimtestaat[[#This Row],[Norm (m2/uur) weekend]],0)</f>
        <v>0</v>
      </c>
      <c r="AD241" s="116">
        <f>Ruimtestaat[[#This Row],[uren / jaar weekend]]*Tariefsopbouw!$D$40</f>
        <v>0</v>
      </c>
      <c r="AE241" s="82">
        <f>Ruimtestaat[[#This Row],[Prest. (m2 /jaar) weekend]]+Ruimtestaat[[#This Row],[Prest. (m2 /jaar) werkdagen]]</f>
        <v>1701</v>
      </c>
      <c r="AF241" s="82">
        <f>Ruimtestaat[[#This Row],[uren / jaar weekend]]+Ruimtestaat[[#This Row],[uren / jaar werkdagen]]</f>
        <v>0</v>
      </c>
      <c r="AG241" s="83">
        <f>Ruimtestaat[[#This Row],[kosten / jaar weekend]]+Ruimtestaat[[#This Row],[kosten / jaar werkdagen]]</f>
        <v>0</v>
      </c>
      <c r="AH241" s="117"/>
      <c r="HL241" s="87"/>
    </row>
    <row r="242" spans="1:220" ht="15" customHeight="1">
      <c r="A242" s="136">
        <v>1</v>
      </c>
      <c r="B242" s="27" t="str">
        <f>VLOOKUP(Ruimtestaat[[#This Row],[Code]],Locaties[#All],2,FALSE)</f>
        <v>Amstelveen College</v>
      </c>
      <c r="C242" s="27" t="str">
        <f>VLOOKUP(Ruimtestaat[[#This Row],[Code]],Locaties[#All],4,FALSE)</f>
        <v>Sportlaan 27</v>
      </c>
      <c r="D242" s="27" t="str">
        <f>VLOOKUP(Ruimtestaat[[#This Row],[Code]],Locaties[#All],5,FALSE)</f>
        <v>1185 TB</v>
      </c>
      <c r="E242" s="27" t="str">
        <f>VLOOKUP(Ruimtestaat[[#This Row],[Code]],Locaties[#All],6,FALSE)</f>
        <v>Amstelveen</v>
      </c>
      <c r="F242" s="74"/>
      <c r="G242" s="27" t="s">
        <v>274</v>
      </c>
      <c r="H242" s="27" t="s">
        <v>347</v>
      </c>
      <c r="I242" s="24" t="s">
        <v>375</v>
      </c>
      <c r="J242" s="27">
        <v>2</v>
      </c>
      <c r="K242" s="74" t="str">
        <f>VLOOKUP(J242,Ruimtegroepen[],2,FALSE)</f>
        <v>Kantoren</v>
      </c>
      <c r="L242" s="27" t="s">
        <v>113</v>
      </c>
      <c r="M242" s="27" t="s">
        <v>39</v>
      </c>
      <c r="N242" s="107">
        <v>12.8</v>
      </c>
      <c r="O242" s="107"/>
      <c r="P242" s="118" t="str">
        <f>LEFT(VLOOKUP(Ruimtestaat[[#This Row],[Ruimte code]],Ruimtegroepen[#All],4,1),2)</f>
        <v xml:space="preserve">B </v>
      </c>
      <c r="Q242" s="118"/>
      <c r="R242" s="108">
        <v>42</v>
      </c>
      <c r="S242" s="109" t="s">
        <v>15</v>
      </c>
      <c r="T242" s="110">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42" s="110">
        <f>IF(T242&gt;0,VLOOKUP($J242,Ruimtegroepen[],3,FALSE)*VLOOKUP($L242,Vloersoorten[],3,FALSE)*VLOOKUP($S242,Frequenties[],3,FALSE)*VLOOKUP($A242,Locaties[],3,FALSE),0)</f>
        <v>0</v>
      </c>
      <c r="V242" s="111">
        <f>Ruimtestaat[[#This Row],[Uitvoeringen werkdagen]]*Ruimtestaat[[#This Row],[Oppervlak (netto)]]</f>
        <v>537.6</v>
      </c>
      <c r="W242" s="112">
        <f>IF(U242&gt;0,Ruimtestaat[[#This Row],[Prest. (m2 /jaar) werkdagen]]/Ruimtestaat[[#This Row],[Norm (m2/uur) werkdagen]],0)</f>
        <v>0</v>
      </c>
      <c r="X242" s="113">
        <f>Ruimtestaat[[#This Row],[uren / jaar werkdagen]]*Tariefsopbouw!$E$35</f>
        <v>0</v>
      </c>
      <c r="Y242" s="110"/>
      <c r="Z242" s="114">
        <f>IF(Ruimtestaat[[#This Row],[Frequentie weekend]]&gt;0,VALUE(LEFT(Y242,1))*R242,0)</f>
        <v>0</v>
      </c>
      <c r="AA242" s="110">
        <f>IF($Z242&gt;0,VLOOKUP($J242,Ruimtegroepen[],3,FALSE)*VLOOKUP($L242,Vloersoorten[],3,FALSE)*VLOOKUP($Y242,Frequenties[],3,FALSE)*VLOOKUP($A238,Locaties[],3,FALSE),0)</f>
        <v>0</v>
      </c>
      <c r="AB242" s="112">
        <f>Ruimtestaat[[#This Row],[Uitvoeringen weekend]]*Ruimtestaat[[#This Row],[Oppervlak (netto)]]</f>
        <v>0</v>
      </c>
      <c r="AC242" s="115">
        <f>IF(AB242&gt;0,Ruimtestaat[[#This Row],[Prest. (m2 /jaar) weekend]]/Ruimtestaat[[#This Row],[Norm (m2/uur) weekend]],0)</f>
        <v>0</v>
      </c>
      <c r="AD242" s="116">
        <f>Ruimtestaat[[#This Row],[uren / jaar weekend]]*Tariefsopbouw!$D$40</f>
        <v>0</v>
      </c>
      <c r="AE242" s="82">
        <f>Ruimtestaat[[#This Row],[Prest. (m2 /jaar) weekend]]+Ruimtestaat[[#This Row],[Prest. (m2 /jaar) werkdagen]]</f>
        <v>537.6</v>
      </c>
      <c r="AF242" s="82">
        <f>Ruimtestaat[[#This Row],[uren / jaar weekend]]+Ruimtestaat[[#This Row],[uren / jaar werkdagen]]</f>
        <v>0</v>
      </c>
      <c r="AG242" s="83">
        <f>Ruimtestaat[[#This Row],[kosten / jaar weekend]]+Ruimtestaat[[#This Row],[kosten / jaar werkdagen]]</f>
        <v>0</v>
      </c>
      <c r="AH242" s="117"/>
      <c r="HL242" s="87"/>
    </row>
    <row r="243" spans="1:220" ht="15" customHeight="1">
      <c r="A243" s="136">
        <v>1</v>
      </c>
      <c r="B243" s="27" t="str">
        <f>VLOOKUP(Ruimtestaat[[#This Row],[Code]],Locaties[#All],2,FALSE)</f>
        <v>Amstelveen College</v>
      </c>
      <c r="C243" s="27" t="str">
        <f>VLOOKUP(Ruimtestaat[[#This Row],[Code]],Locaties[#All],4,FALSE)</f>
        <v>Sportlaan 27</v>
      </c>
      <c r="D243" s="27" t="str">
        <f>VLOOKUP(Ruimtestaat[[#This Row],[Code]],Locaties[#All],5,FALSE)</f>
        <v>1185 TB</v>
      </c>
      <c r="E243" s="27" t="str">
        <f>VLOOKUP(Ruimtestaat[[#This Row],[Code]],Locaties[#All],6,FALSE)</f>
        <v>Amstelveen</v>
      </c>
      <c r="F243" s="74"/>
      <c r="G243" s="27" t="s">
        <v>274</v>
      </c>
      <c r="H243" s="27" t="s">
        <v>348</v>
      </c>
      <c r="I243" s="24" t="s">
        <v>371</v>
      </c>
      <c r="J243" s="27">
        <v>16</v>
      </c>
      <c r="K243" s="74" t="str">
        <f>VLOOKUP(J243,Ruimtegroepen[],2,FALSE)</f>
        <v>Leslokalen theorie</v>
      </c>
      <c r="L243" s="27" t="s">
        <v>114</v>
      </c>
      <c r="M243" s="27" t="s">
        <v>139</v>
      </c>
      <c r="N243" s="107">
        <v>56.8</v>
      </c>
      <c r="O243" s="107"/>
      <c r="P243" s="118" t="str">
        <f>LEFT(VLOOKUP(Ruimtestaat[[#This Row],[Ruimte code]],Ruimtegroepen[#All],4,1),2)</f>
        <v xml:space="preserve">L </v>
      </c>
      <c r="Q243" s="118"/>
      <c r="R243" s="108">
        <v>40</v>
      </c>
      <c r="S243" s="109" t="s">
        <v>18</v>
      </c>
      <c r="T243" s="110">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3" s="110">
        <f>IF(T243&gt;0,VLOOKUP($J243,Ruimtegroepen[],3,FALSE)*VLOOKUP($L243,Vloersoorten[],3,FALSE)*VLOOKUP($S243,Frequenties[],3,FALSE)*VLOOKUP($A243,Locaties[],3,FALSE),0)</f>
        <v>0</v>
      </c>
      <c r="V243" s="111">
        <f>Ruimtestaat[[#This Row],[Uitvoeringen werkdagen]]*Ruimtestaat[[#This Row],[Oppervlak (netto)]]</f>
        <v>6816</v>
      </c>
      <c r="W243" s="112">
        <f>IF(U243&gt;0,Ruimtestaat[[#This Row],[Prest. (m2 /jaar) werkdagen]]/Ruimtestaat[[#This Row],[Norm (m2/uur) werkdagen]],0)</f>
        <v>0</v>
      </c>
      <c r="X243" s="113">
        <f>Ruimtestaat[[#This Row],[uren / jaar werkdagen]]*Tariefsopbouw!$E$35</f>
        <v>0</v>
      </c>
      <c r="Y243" s="110"/>
      <c r="Z243" s="114">
        <f>IF(Ruimtestaat[[#This Row],[Frequentie weekend]]&gt;0,VALUE(LEFT(Y243,1))*R243,0)</f>
        <v>0</v>
      </c>
      <c r="AA243" s="110">
        <f>IF($Z243&gt;0,VLOOKUP($J243,Ruimtegroepen[],3,FALSE)*VLOOKUP($L243,Vloersoorten[],3,FALSE)*VLOOKUP($Y243,Frequenties[],3,FALSE)*VLOOKUP($A239,Locaties[],3,FALSE),0)</f>
        <v>0</v>
      </c>
      <c r="AB243" s="112">
        <f>Ruimtestaat[[#This Row],[Uitvoeringen weekend]]*Ruimtestaat[[#This Row],[Oppervlak (netto)]]</f>
        <v>0</v>
      </c>
      <c r="AC243" s="115">
        <f>IF(AB243&gt;0,Ruimtestaat[[#This Row],[Prest. (m2 /jaar) weekend]]/Ruimtestaat[[#This Row],[Norm (m2/uur) weekend]],0)</f>
        <v>0</v>
      </c>
      <c r="AD243" s="116">
        <f>Ruimtestaat[[#This Row],[uren / jaar weekend]]*Tariefsopbouw!$D$40</f>
        <v>0</v>
      </c>
      <c r="AE243" s="82">
        <f>Ruimtestaat[[#This Row],[Prest. (m2 /jaar) weekend]]+Ruimtestaat[[#This Row],[Prest. (m2 /jaar) werkdagen]]</f>
        <v>6816</v>
      </c>
      <c r="AF243" s="82">
        <f>Ruimtestaat[[#This Row],[uren / jaar weekend]]+Ruimtestaat[[#This Row],[uren / jaar werkdagen]]</f>
        <v>0</v>
      </c>
      <c r="AG243" s="83">
        <f>Ruimtestaat[[#This Row],[kosten / jaar weekend]]+Ruimtestaat[[#This Row],[kosten / jaar werkdagen]]</f>
        <v>0</v>
      </c>
      <c r="AH243" s="117"/>
      <c r="HL243" s="87"/>
    </row>
    <row r="244" spans="1:220" ht="15" customHeight="1">
      <c r="A244" s="136">
        <v>1</v>
      </c>
      <c r="B244" s="27" t="str">
        <f>VLOOKUP(Ruimtestaat[[#This Row],[Code]],Locaties[#All],2,FALSE)</f>
        <v>Amstelveen College</v>
      </c>
      <c r="C244" s="27" t="str">
        <f>VLOOKUP(Ruimtestaat[[#This Row],[Code]],Locaties[#All],4,FALSE)</f>
        <v>Sportlaan 27</v>
      </c>
      <c r="D244" s="27" t="str">
        <f>VLOOKUP(Ruimtestaat[[#This Row],[Code]],Locaties[#All],5,FALSE)</f>
        <v>1185 TB</v>
      </c>
      <c r="E244" s="27" t="str">
        <f>VLOOKUP(Ruimtestaat[[#This Row],[Code]],Locaties[#All],6,FALSE)</f>
        <v>Amstelveen</v>
      </c>
      <c r="F244" s="74"/>
      <c r="G244" s="27" t="s">
        <v>274</v>
      </c>
      <c r="H244" s="27" t="s">
        <v>349</v>
      </c>
      <c r="I244" s="24" t="s">
        <v>371</v>
      </c>
      <c r="J244" s="27">
        <v>16</v>
      </c>
      <c r="K244" s="74" t="str">
        <f>VLOOKUP(J244,Ruimtegroepen[],2,FALSE)</f>
        <v>Leslokalen theorie</v>
      </c>
      <c r="L244" s="27" t="s">
        <v>114</v>
      </c>
      <c r="M244" s="27" t="s">
        <v>139</v>
      </c>
      <c r="N244" s="107">
        <v>56.8</v>
      </c>
      <c r="O244" s="107"/>
      <c r="P244" s="118" t="str">
        <f>LEFT(VLOOKUP(Ruimtestaat[[#This Row],[Ruimte code]],Ruimtegroepen[#All],4,1),2)</f>
        <v xml:space="preserve">L </v>
      </c>
      <c r="Q244" s="118"/>
      <c r="R244" s="108">
        <v>40</v>
      </c>
      <c r="S244" s="109" t="s">
        <v>18</v>
      </c>
      <c r="T244" s="110">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4" s="110">
        <f>IF(T244&gt;0,VLOOKUP($J244,Ruimtegroepen[],3,FALSE)*VLOOKUP($L244,Vloersoorten[],3,FALSE)*VLOOKUP($S244,Frequenties[],3,FALSE)*VLOOKUP($A244,Locaties[],3,FALSE),0)</f>
        <v>0</v>
      </c>
      <c r="V244" s="111">
        <f>Ruimtestaat[[#This Row],[Uitvoeringen werkdagen]]*Ruimtestaat[[#This Row],[Oppervlak (netto)]]</f>
        <v>6816</v>
      </c>
      <c r="W244" s="112">
        <f>IF(U244&gt;0,Ruimtestaat[[#This Row],[Prest. (m2 /jaar) werkdagen]]/Ruimtestaat[[#This Row],[Norm (m2/uur) werkdagen]],0)</f>
        <v>0</v>
      </c>
      <c r="X244" s="113">
        <f>Ruimtestaat[[#This Row],[uren / jaar werkdagen]]*Tariefsopbouw!$E$35</f>
        <v>0</v>
      </c>
      <c r="Y244" s="110"/>
      <c r="Z244" s="114">
        <f>IF(Ruimtestaat[[#This Row],[Frequentie weekend]]&gt;0,VALUE(LEFT(Y244,1))*R244,0)</f>
        <v>0</v>
      </c>
      <c r="AA244" s="110">
        <f>IF($Z244&gt;0,VLOOKUP($J244,Ruimtegroepen[],3,FALSE)*VLOOKUP($L244,Vloersoorten[],3,FALSE)*VLOOKUP($Y244,Frequenties[],3,FALSE)*VLOOKUP($A240,Locaties[],3,FALSE),0)</f>
        <v>0</v>
      </c>
      <c r="AB244" s="112">
        <f>Ruimtestaat[[#This Row],[Uitvoeringen weekend]]*Ruimtestaat[[#This Row],[Oppervlak (netto)]]</f>
        <v>0</v>
      </c>
      <c r="AC244" s="115">
        <f>IF(AB244&gt;0,Ruimtestaat[[#This Row],[Prest. (m2 /jaar) weekend]]/Ruimtestaat[[#This Row],[Norm (m2/uur) weekend]],0)</f>
        <v>0</v>
      </c>
      <c r="AD244" s="116">
        <f>Ruimtestaat[[#This Row],[uren / jaar weekend]]*Tariefsopbouw!$D$40</f>
        <v>0</v>
      </c>
      <c r="AE244" s="82">
        <f>Ruimtestaat[[#This Row],[Prest. (m2 /jaar) weekend]]+Ruimtestaat[[#This Row],[Prest. (m2 /jaar) werkdagen]]</f>
        <v>6816</v>
      </c>
      <c r="AF244" s="82">
        <f>Ruimtestaat[[#This Row],[uren / jaar weekend]]+Ruimtestaat[[#This Row],[uren / jaar werkdagen]]</f>
        <v>0</v>
      </c>
      <c r="AG244" s="83">
        <f>Ruimtestaat[[#This Row],[kosten / jaar weekend]]+Ruimtestaat[[#This Row],[kosten / jaar werkdagen]]</f>
        <v>0</v>
      </c>
      <c r="AH244" s="117"/>
      <c r="HL244" s="87"/>
    </row>
    <row r="245" spans="1:220" ht="15" customHeight="1">
      <c r="A245" s="136">
        <v>1</v>
      </c>
      <c r="B245" s="27" t="str">
        <f>VLOOKUP(Ruimtestaat[[#This Row],[Code]],Locaties[#All],2,FALSE)</f>
        <v>Amstelveen College</v>
      </c>
      <c r="C245" s="27" t="str">
        <f>VLOOKUP(Ruimtestaat[[#This Row],[Code]],Locaties[#All],4,FALSE)</f>
        <v>Sportlaan 27</v>
      </c>
      <c r="D245" s="27" t="str">
        <f>VLOOKUP(Ruimtestaat[[#This Row],[Code]],Locaties[#All],5,FALSE)</f>
        <v>1185 TB</v>
      </c>
      <c r="E245" s="27" t="str">
        <f>VLOOKUP(Ruimtestaat[[#This Row],[Code]],Locaties[#All],6,FALSE)</f>
        <v>Amstelveen</v>
      </c>
      <c r="F245" s="74"/>
      <c r="G245" s="27" t="s">
        <v>274</v>
      </c>
      <c r="H245" s="27" t="s">
        <v>350</v>
      </c>
      <c r="I245" s="24" t="s">
        <v>376</v>
      </c>
      <c r="J245" s="27">
        <v>2</v>
      </c>
      <c r="K245" s="74" t="str">
        <f>VLOOKUP(J245,Ruimtegroepen[],2,FALSE)</f>
        <v>Kantoren</v>
      </c>
      <c r="L245" s="27" t="s">
        <v>113</v>
      </c>
      <c r="M245" s="27" t="s">
        <v>39</v>
      </c>
      <c r="N245" s="107">
        <v>37.9</v>
      </c>
      <c r="O245" s="107"/>
      <c r="P245" s="118" t="str">
        <f>LEFT(VLOOKUP(Ruimtestaat[[#This Row],[Ruimte code]],Ruimtegroepen[#All],4,1),2)</f>
        <v xml:space="preserve">B </v>
      </c>
      <c r="Q245" s="118"/>
      <c r="R245" s="108">
        <v>42</v>
      </c>
      <c r="S245" s="109" t="s">
        <v>15</v>
      </c>
      <c r="T245" s="110">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45" s="110">
        <f>IF(T245&gt;0,VLOOKUP($J245,Ruimtegroepen[],3,FALSE)*VLOOKUP($L245,Vloersoorten[],3,FALSE)*VLOOKUP($S245,Frequenties[],3,FALSE)*VLOOKUP($A245,Locaties[],3,FALSE),0)</f>
        <v>0</v>
      </c>
      <c r="V245" s="111">
        <f>Ruimtestaat[[#This Row],[Uitvoeringen werkdagen]]*Ruimtestaat[[#This Row],[Oppervlak (netto)]]</f>
        <v>1591.8</v>
      </c>
      <c r="W245" s="112">
        <f>IF(U245&gt;0,Ruimtestaat[[#This Row],[Prest. (m2 /jaar) werkdagen]]/Ruimtestaat[[#This Row],[Norm (m2/uur) werkdagen]],0)</f>
        <v>0</v>
      </c>
      <c r="X245" s="113">
        <f>Ruimtestaat[[#This Row],[uren / jaar werkdagen]]*Tariefsopbouw!$E$35</f>
        <v>0</v>
      </c>
      <c r="Y245" s="110"/>
      <c r="Z245" s="114">
        <f>IF(Ruimtestaat[[#This Row],[Frequentie weekend]]&gt;0,VALUE(LEFT(Y245,1))*R245,0)</f>
        <v>0</v>
      </c>
      <c r="AA245" s="110">
        <f>IF($Z245&gt;0,VLOOKUP($J245,Ruimtegroepen[],3,FALSE)*VLOOKUP($L245,Vloersoorten[],3,FALSE)*VLOOKUP($Y245,Frequenties[],3,FALSE)*VLOOKUP($A241,Locaties[],3,FALSE),0)</f>
        <v>0</v>
      </c>
      <c r="AB245" s="112">
        <f>Ruimtestaat[[#This Row],[Uitvoeringen weekend]]*Ruimtestaat[[#This Row],[Oppervlak (netto)]]</f>
        <v>0</v>
      </c>
      <c r="AC245" s="115">
        <f>IF(AB245&gt;0,Ruimtestaat[[#This Row],[Prest. (m2 /jaar) weekend]]/Ruimtestaat[[#This Row],[Norm (m2/uur) weekend]],0)</f>
        <v>0</v>
      </c>
      <c r="AD245" s="116">
        <f>Ruimtestaat[[#This Row],[uren / jaar weekend]]*Tariefsopbouw!$D$40</f>
        <v>0</v>
      </c>
      <c r="AE245" s="82">
        <f>Ruimtestaat[[#This Row],[Prest. (m2 /jaar) weekend]]+Ruimtestaat[[#This Row],[Prest. (m2 /jaar) werkdagen]]</f>
        <v>1591.8</v>
      </c>
      <c r="AF245" s="82">
        <f>Ruimtestaat[[#This Row],[uren / jaar weekend]]+Ruimtestaat[[#This Row],[uren / jaar werkdagen]]</f>
        <v>0</v>
      </c>
      <c r="AG245" s="83">
        <f>Ruimtestaat[[#This Row],[kosten / jaar weekend]]+Ruimtestaat[[#This Row],[kosten / jaar werkdagen]]</f>
        <v>0</v>
      </c>
      <c r="AH245" s="117"/>
      <c r="HL245" s="87"/>
    </row>
    <row r="246" spans="1:220" ht="15" customHeight="1">
      <c r="A246" s="136">
        <v>1</v>
      </c>
      <c r="B246" s="27" t="str">
        <f>VLOOKUP(Ruimtestaat[[#This Row],[Code]],Locaties[#All],2,FALSE)</f>
        <v>Amstelveen College</v>
      </c>
      <c r="C246" s="27" t="str">
        <f>VLOOKUP(Ruimtestaat[[#This Row],[Code]],Locaties[#All],4,FALSE)</f>
        <v>Sportlaan 27</v>
      </c>
      <c r="D246" s="27" t="str">
        <f>VLOOKUP(Ruimtestaat[[#This Row],[Code]],Locaties[#All],5,FALSE)</f>
        <v>1185 TB</v>
      </c>
      <c r="E246" s="27" t="str">
        <f>VLOOKUP(Ruimtestaat[[#This Row],[Code]],Locaties[#All],6,FALSE)</f>
        <v>Amstelveen</v>
      </c>
      <c r="F246" s="74"/>
      <c r="G246" s="27" t="s">
        <v>274</v>
      </c>
      <c r="H246" s="27" t="s">
        <v>351</v>
      </c>
      <c r="I246" s="24" t="s">
        <v>371</v>
      </c>
      <c r="J246" s="27">
        <v>16</v>
      </c>
      <c r="K246" s="74" t="str">
        <f>VLOOKUP(J246,Ruimtegroepen[],2,FALSE)</f>
        <v>Leslokalen theorie</v>
      </c>
      <c r="L246" s="27" t="s">
        <v>114</v>
      </c>
      <c r="M246" s="27" t="s">
        <v>139</v>
      </c>
      <c r="N246" s="107">
        <v>56.8</v>
      </c>
      <c r="O246" s="107"/>
      <c r="P246" s="118" t="str">
        <f>LEFT(VLOOKUP(Ruimtestaat[[#This Row],[Ruimte code]],Ruimtegroepen[#All],4,1),2)</f>
        <v xml:space="preserve">L </v>
      </c>
      <c r="Q246" s="118"/>
      <c r="R246" s="108">
        <v>40</v>
      </c>
      <c r="S246" s="109" t="s">
        <v>18</v>
      </c>
      <c r="T246" s="110">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6" s="110">
        <f>IF(T246&gt;0,VLOOKUP($J246,Ruimtegroepen[],3,FALSE)*VLOOKUP($L246,Vloersoorten[],3,FALSE)*VLOOKUP($S246,Frequenties[],3,FALSE)*VLOOKUP($A246,Locaties[],3,FALSE),0)</f>
        <v>0</v>
      </c>
      <c r="V246" s="111">
        <f>Ruimtestaat[[#This Row],[Uitvoeringen werkdagen]]*Ruimtestaat[[#This Row],[Oppervlak (netto)]]</f>
        <v>6816</v>
      </c>
      <c r="W246" s="112">
        <f>IF(U246&gt;0,Ruimtestaat[[#This Row],[Prest. (m2 /jaar) werkdagen]]/Ruimtestaat[[#This Row],[Norm (m2/uur) werkdagen]],0)</f>
        <v>0</v>
      </c>
      <c r="X246" s="113">
        <f>Ruimtestaat[[#This Row],[uren / jaar werkdagen]]*Tariefsopbouw!$E$35</f>
        <v>0</v>
      </c>
      <c r="Y246" s="110"/>
      <c r="Z246" s="114">
        <f>IF(Ruimtestaat[[#This Row],[Frequentie weekend]]&gt;0,VALUE(LEFT(Y246,1))*R246,0)</f>
        <v>0</v>
      </c>
      <c r="AA246" s="110">
        <f>IF($Z246&gt;0,VLOOKUP($J246,Ruimtegroepen[],3,FALSE)*VLOOKUP($L246,Vloersoorten[],3,FALSE)*VLOOKUP($Y246,Frequenties[],3,FALSE)*VLOOKUP($A242,Locaties[],3,FALSE),0)</f>
        <v>0</v>
      </c>
      <c r="AB246" s="112">
        <f>Ruimtestaat[[#This Row],[Uitvoeringen weekend]]*Ruimtestaat[[#This Row],[Oppervlak (netto)]]</f>
        <v>0</v>
      </c>
      <c r="AC246" s="115">
        <f>IF(AB246&gt;0,Ruimtestaat[[#This Row],[Prest. (m2 /jaar) weekend]]/Ruimtestaat[[#This Row],[Norm (m2/uur) weekend]],0)</f>
        <v>0</v>
      </c>
      <c r="AD246" s="116">
        <f>Ruimtestaat[[#This Row],[uren / jaar weekend]]*Tariefsopbouw!$D$40</f>
        <v>0</v>
      </c>
      <c r="AE246" s="82">
        <f>Ruimtestaat[[#This Row],[Prest. (m2 /jaar) weekend]]+Ruimtestaat[[#This Row],[Prest. (m2 /jaar) werkdagen]]</f>
        <v>6816</v>
      </c>
      <c r="AF246" s="82">
        <f>Ruimtestaat[[#This Row],[uren / jaar weekend]]+Ruimtestaat[[#This Row],[uren / jaar werkdagen]]</f>
        <v>0</v>
      </c>
      <c r="AG246" s="83">
        <f>Ruimtestaat[[#This Row],[kosten / jaar weekend]]+Ruimtestaat[[#This Row],[kosten / jaar werkdagen]]</f>
        <v>0</v>
      </c>
      <c r="AH246" s="117"/>
      <c r="HL246" s="87"/>
    </row>
    <row r="247" spans="1:220" ht="15" customHeight="1">
      <c r="A247" s="136">
        <v>1</v>
      </c>
      <c r="B247" s="27" t="str">
        <f>VLOOKUP(Ruimtestaat[[#This Row],[Code]],Locaties[#All],2,FALSE)</f>
        <v>Amstelveen College</v>
      </c>
      <c r="C247" s="27" t="str">
        <f>VLOOKUP(Ruimtestaat[[#This Row],[Code]],Locaties[#All],4,FALSE)</f>
        <v>Sportlaan 27</v>
      </c>
      <c r="D247" s="27" t="str">
        <f>VLOOKUP(Ruimtestaat[[#This Row],[Code]],Locaties[#All],5,FALSE)</f>
        <v>1185 TB</v>
      </c>
      <c r="E247" s="27" t="str">
        <f>VLOOKUP(Ruimtestaat[[#This Row],[Code]],Locaties[#All],6,FALSE)</f>
        <v>Amstelveen</v>
      </c>
      <c r="F247" s="74"/>
      <c r="G247" s="27" t="s">
        <v>274</v>
      </c>
      <c r="H247" s="27" t="s">
        <v>352</v>
      </c>
      <c r="I247" s="24" t="s">
        <v>375</v>
      </c>
      <c r="J247" s="27">
        <v>2</v>
      </c>
      <c r="K247" s="74" t="str">
        <f>VLOOKUP(J247,Ruimtegroepen[],2,FALSE)</f>
        <v>Kantoren</v>
      </c>
      <c r="L247" s="27" t="s">
        <v>113</v>
      </c>
      <c r="M247" s="27" t="s">
        <v>39</v>
      </c>
      <c r="N247" s="107">
        <v>9.9</v>
      </c>
      <c r="O247" s="107"/>
      <c r="P247" s="118" t="str">
        <f>LEFT(VLOOKUP(Ruimtestaat[[#This Row],[Ruimte code]],Ruimtegroepen[#All],4,1),2)</f>
        <v xml:space="preserve">B </v>
      </c>
      <c r="Q247" s="118"/>
      <c r="R247" s="108">
        <v>42</v>
      </c>
      <c r="S247" s="109" t="s">
        <v>15</v>
      </c>
      <c r="T247" s="110">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47" s="110">
        <f>IF(T247&gt;0,VLOOKUP($J247,Ruimtegroepen[],3,FALSE)*VLOOKUP($L247,Vloersoorten[],3,FALSE)*VLOOKUP($S247,Frequenties[],3,FALSE)*VLOOKUP($A247,Locaties[],3,FALSE),0)</f>
        <v>0</v>
      </c>
      <c r="V247" s="111">
        <f>Ruimtestaat[[#This Row],[Uitvoeringen werkdagen]]*Ruimtestaat[[#This Row],[Oppervlak (netto)]]</f>
        <v>415.8</v>
      </c>
      <c r="W247" s="112">
        <f>IF(U247&gt;0,Ruimtestaat[[#This Row],[Prest. (m2 /jaar) werkdagen]]/Ruimtestaat[[#This Row],[Norm (m2/uur) werkdagen]],0)</f>
        <v>0</v>
      </c>
      <c r="X247" s="113">
        <f>Ruimtestaat[[#This Row],[uren / jaar werkdagen]]*Tariefsopbouw!$E$35</f>
        <v>0</v>
      </c>
      <c r="Y247" s="110"/>
      <c r="Z247" s="114">
        <f>IF(Ruimtestaat[[#This Row],[Frequentie weekend]]&gt;0,VALUE(LEFT(Y247,1))*R247,0)</f>
        <v>0</v>
      </c>
      <c r="AA247" s="110">
        <f>IF($Z247&gt;0,VLOOKUP($J247,Ruimtegroepen[],3,FALSE)*VLOOKUP($L247,Vloersoorten[],3,FALSE)*VLOOKUP($Y247,Frequenties[],3,FALSE)*VLOOKUP($A243,Locaties[],3,FALSE),0)</f>
        <v>0</v>
      </c>
      <c r="AB247" s="112">
        <f>Ruimtestaat[[#This Row],[Uitvoeringen weekend]]*Ruimtestaat[[#This Row],[Oppervlak (netto)]]</f>
        <v>0</v>
      </c>
      <c r="AC247" s="115">
        <f>IF(AB247&gt;0,Ruimtestaat[[#This Row],[Prest. (m2 /jaar) weekend]]/Ruimtestaat[[#This Row],[Norm (m2/uur) weekend]],0)</f>
        <v>0</v>
      </c>
      <c r="AD247" s="116">
        <f>Ruimtestaat[[#This Row],[uren / jaar weekend]]*Tariefsopbouw!$D$40</f>
        <v>0</v>
      </c>
      <c r="AE247" s="82">
        <f>Ruimtestaat[[#This Row],[Prest. (m2 /jaar) weekend]]+Ruimtestaat[[#This Row],[Prest. (m2 /jaar) werkdagen]]</f>
        <v>415.8</v>
      </c>
      <c r="AF247" s="82">
        <f>Ruimtestaat[[#This Row],[uren / jaar weekend]]+Ruimtestaat[[#This Row],[uren / jaar werkdagen]]</f>
        <v>0</v>
      </c>
      <c r="AG247" s="83">
        <f>Ruimtestaat[[#This Row],[kosten / jaar weekend]]+Ruimtestaat[[#This Row],[kosten / jaar werkdagen]]</f>
        <v>0</v>
      </c>
      <c r="AH247" s="117"/>
      <c r="HL247" s="87"/>
    </row>
    <row r="248" spans="1:220" ht="15" customHeight="1">
      <c r="A248" s="136">
        <v>1</v>
      </c>
      <c r="B248" s="27" t="str">
        <f>VLOOKUP(Ruimtestaat[[#This Row],[Code]],Locaties[#All],2,FALSE)</f>
        <v>Amstelveen College</v>
      </c>
      <c r="C248" s="27" t="str">
        <f>VLOOKUP(Ruimtestaat[[#This Row],[Code]],Locaties[#All],4,FALSE)</f>
        <v>Sportlaan 27</v>
      </c>
      <c r="D248" s="27" t="str">
        <f>VLOOKUP(Ruimtestaat[[#This Row],[Code]],Locaties[#All],5,FALSE)</f>
        <v>1185 TB</v>
      </c>
      <c r="E248" s="27" t="str">
        <f>VLOOKUP(Ruimtestaat[[#This Row],[Code]],Locaties[#All],6,FALSE)</f>
        <v>Amstelveen</v>
      </c>
      <c r="F248" s="74"/>
      <c r="G248" s="27" t="s">
        <v>274</v>
      </c>
      <c r="H248" s="27" t="s">
        <v>353</v>
      </c>
      <c r="I248" s="24" t="s">
        <v>371</v>
      </c>
      <c r="J248" s="27">
        <v>16</v>
      </c>
      <c r="K248" s="74" t="str">
        <f>VLOOKUP(J248,Ruimtegroepen[],2,FALSE)</f>
        <v>Leslokalen theorie</v>
      </c>
      <c r="L248" s="27" t="s">
        <v>114</v>
      </c>
      <c r="M248" s="27" t="s">
        <v>139</v>
      </c>
      <c r="N248" s="107">
        <v>56.5</v>
      </c>
      <c r="O248" s="107"/>
      <c r="P248" s="118" t="str">
        <f>LEFT(VLOOKUP(Ruimtestaat[[#This Row],[Ruimte code]],Ruimtegroepen[#All],4,1),2)</f>
        <v xml:space="preserve">L </v>
      </c>
      <c r="Q248" s="118"/>
      <c r="R248" s="108">
        <v>40</v>
      </c>
      <c r="S248" s="109" t="s">
        <v>18</v>
      </c>
      <c r="T248" s="110">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8" s="110">
        <f>IF(T248&gt;0,VLOOKUP($J248,Ruimtegroepen[],3,FALSE)*VLOOKUP($L248,Vloersoorten[],3,FALSE)*VLOOKUP($S248,Frequenties[],3,FALSE)*VLOOKUP($A248,Locaties[],3,FALSE),0)</f>
        <v>0</v>
      </c>
      <c r="V248" s="111">
        <f>Ruimtestaat[[#This Row],[Uitvoeringen werkdagen]]*Ruimtestaat[[#This Row],[Oppervlak (netto)]]</f>
        <v>6780</v>
      </c>
      <c r="W248" s="112">
        <f>IF(U248&gt;0,Ruimtestaat[[#This Row],[Prest. (m2 /jaar) werkdagen]]/Ruimtestaat[[#This Row],[Norm (m2/uur) werkdagen]],0)</f>
        <v>0</v>
      </c>
      <c r="X248" s="113">
        <f>Ruimtestaat[[#This Row],[uren / jaar werkdagen]]*Tariefsopbouw!$E$35</f>
        <v>0</v>
      </c>
      <c r="Y248" s="110"/>
      <c r="Z248" s="114">
        <f>IF(Ruimtestaat[[#This Row],[Frequentie weekend]]&gt;0,VALUE(LEFT(Y248,1))*R248,0)</f>
        <v>0</v>
      </c>
      <c r="AA248" s="110">
        <f>IF($Z248&gt;0,VLOOKUP($J248,Ruimtegroepen[],3,FALSE)*VLOOKUP($L248,Vloersoorten[],3,FALSE)*VLOOKUP($Y248,Frequenties[],3,FALSE)*VLOOKUP($A244,Locaties[],3,FALSE),0)</f>
        <v>0</v>
      </c>
      <c r="AB248" s="112">
        <f>Ruimtestaat[[#This Row],[Uitvoeringen weekend]]*Ruimtestaat[[#This Row],[Oppervlak (netto)]]</f>
        <v>0</v>
      </c>
      <c r="AC248" s="115">
        <f>IF(AB248&gt;0,Ruimtestaat[[#This Row],[Prest. (m2 /jaar) weekend]]/Ruimtestaat[[#This Row],[Norm (m2/uur) weekend]],0)</f>
        <v>0</v>
      </c>
      <c r="AD248" s="116">
        <f>Ruimtestaat[[#This Row],[uren / jaar weekend]]*Tariefsopbouw!$D$40</f>
        <v>0</v>
      </c>
      <c r="AE248" s="82">
        <f>Ruimtestaat[[#This Row],[Prest. (m2 /jaar) weekend]]+Ruimtestaat[[#This Row],[Prest. (m2 /jaar) werkdagen]]</f>
        <v>6780</v>
      </c>
      <c r="AF248" s="82">
        <f>Ruimtestaat[[#This Row],[uren / jaar weekend]]+Ruimtestaat[[#This Row],[uren / jaar werkdagen]]</f>
        <v>0</v>
      </c>
      <c r="AG248" s="83">
        <f>Ruimtestaat[[#This Row],[kosten / jaar weekend]]+Ruimtestaat[[#This Row],[kosten / jaar werkdagen]]</f>
        <v>0</v>
      </c>
      <c r="AH248" s="117"/>
      <c r="HL248" s="87"/>
    </row>
    <row r="249" spans="1:220" ht="15" customHeight="1">
      <c r="A249" s="136">
        <v>1</v>
      </c>
      <c r="B249" s="27" t="str">
        <f>VLOOKUP(Ruimtestaat[[#This Row],[Code]],Locaties[#All],2,FALSE)</f>
        <v>Amstelveen College</v>
      </c>
      <c r="C249" s="27" t="str">
        <f>VLOOKUP(Ruimtestaat[[#This Row],[Code]],Locaties[#All],4,FALSE)</f>
        <v>Sportlaan 27</v>
      </c>
      <c r="D249" s="27" t="str">
        <f>VLOOKUP(Ruimtestaat[[#This Row],[Code]],Locaties[#All],5,FALSE)</f>
        <v>1185 TB</v>
      </c>
      <c r="E249" s="27" t="str">
        <f>VLOOKUP(Ruimtestaat[[#This Row],[Code]],Locaties[#All],6,FALSE)</f>
        <v>Amstelveen</v>
      </c>
      <c r="F249" s="74"/>
      <c r="G249" s="27" t="s">
        <v>274</v>
      </c>
      <c r="H249" s="27" t="s">
        <v>354</v>
      </c>
      <c r="I249" s="24" t="s">
        <v>371</v>
      </c>
      <c r="J249" s="27">
        <v>16</v>
      </c>
      <c r="K249" s="74" t="str">
        <f>VLOOKUP(J249,Ruimtegroepen[],2,FALSE)</f>
        <v>Leslokalen theorie</v>
      </c>
      <c r="L249" s="27" t="s">
        <v>114</v>
      </c>
      <c r="M249" s="27" t="s">
        <v>139</v>
      </c>
      <c r="N249" s="107">
        <v>56.5</v>
      </c>
      <c r="O249" s="107"/>
      <c r="P249" s="118" t="str">
        <f>LEFT(VLOOKUP(Ruimtestaat[[#This Row],[Ruimte code]],Ruimtegroepen[#All],4,1),2)</f>
        <v xml:space="preserve">L </v>
      </c>
      <c r="Q249" s="118"/>
      <c r="R249" s="108">
        <v>40</v>
      </c>
      <c r="S249" s="109" t="s">
        <v>18</v>
      </c>
      <c r="T249" s="110">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9" s="110">
        <f>IF(T249&gt;0,VLOOKUP($J249,Ruimtegroepen[],3,FALSE)*VLOOKUP($L249,Vloersoorten[],3,FALSE)*VLOOKUP($S249,Frequenties[],3,FALSE)*VLOOKUP($A249,Locaties[],3,FALSE),0)</f>
        <v>0</v>
      </c>
      <c r="V249" s="111">
        <f>Ruimtestaat[[#This Row],[Uitvoeringen werkdagen]]*Ruimtestaat[[#This Row],[Oppervlak (netto)]]</f>
        <v>6780</v>
      </c>
      <c r="W249" s="112">
        <f>IF(U249&gt;0,Ruimtestaat[[#This Row],[Prest. (m2 /jaar) werkdagen]]/Ruimtestaat[[#This Row],[Norm (m2/uur) werkdagen]],0)</f>
        <v>0</v>
      </c>
      <c r="X249" s="113">
        <f>Ruimtestaat[[#This Row],[uren / jaar werkdagen]]*Tariefsopbouw!$E$35</f>
        <v>0</v>
      </c>
      <c r="Y249" s="110"/>
      <c r="Z249" s="114">
        <f>IF(Ruimtestaat[[#This Row],[Frequentie weekend]]&gt;0,VALUE(LEFT(Y249,1))*R249,0)</f>
        <v>0</v>
      </c>
      <c r="AA249" s="110">
        <f>IF($Z249&gt;0,VLOOKUP($J249,Ruimtegroepen[],3,FALSE)*VLOOKUP($L249,Vloersoorten[],3,FALSE)*VLOOKUP($Y249,Frequenties[],3,FALSE)*VLOOKUP($A245,Locaties[],3,FALSE),0)</f>
        <v>0</v>
      </c>
      <c r="AB249" s="112">
        <f>Ruimtestaat[[#This Row],[Uitvoeringen weekend]]*Ruimtestaat[[#This Row],[Oppervlak (netto)]]</f>
        <v>0</v>
      </c>
      <c r="AC249" s="115">
        <f>IF(AB249&gt;0,Ruimtestaat[[#This Row],[Prest. (m2 /jaar) weekend]]/Ruimtestaat[[#This Row],[Norm (m2/uur) weekend]],0)</f>
        <v>0</v>
      </c>
      <c r="AD249" s="116">
        <f>Ruimtestaat[[#This Row],[uren / jaar weekend]]*Tariefsopbouw!$D$40</f>
        <v>0</v>
      </c>
      <c r="AE249" s="82">
        <f>Ruimtestaat[[#This Row],[Prest. (m2 /jaar) weekend]]+Ruimtestaat[[#This Row],[Prest. (m2 /jaar) werkdagen]]</f>
        <v>6780</v>
      </c>
      <c r="AF249" s="82">
        <f>Ruimtestaat[[#This Row],[uren / jaar weekend]]+Ruimtestaat[[#This Row],[uren / jaar werkdagen]]</f>
        <v>0</v>
      </c>
      <c r="AG249" s="83">
        <f>Ruimtestaat[[#This Row],[kosten / jaar weekend]]+Ruimtestaat[[#This Row],[kosten / jaar werkdagen]]</f>
        <v>0</v>
      </c>
      <c r="AH249" s="117"/>
      <c r="HL249" s="87"/>
    </row>
    <row r="250" spans="1:220" ht="15" customHeight="1">
      <c r="A250" s="136">
        <v>1</v>
      </c>
      <c r="B250" s="27" t="str">
        <f>VLOOKUP(Ruimtestaat[[#This Row],[Code]],Locaties[#All],2,FALSE)</f>
        <v>Amstelveen College</v>
      </c>
      <c r="C250" s="27" t="str">
        <f>VLOOKUP(Ruimtestaat[[#This Row],[Code]],Locaties[#All],4,FALSE)</f>
        <v>Sportlaan 27</v>
      </c>
      <c r="D250" s="27" t="str">
        <f>VLOOKUP(Ruimtestaat[[#This Row],[Code]],Locaties[#All],5,FALSE)</f>
        <v>1185 TB</v>
      </c>
      <c r="E250" s="27" t="str">
        <f>VLOOKUP(Ruimtestaat[[#This Row],[Code]],Locaties[#All],6,FALSE)</f>
        <v>Amstelveen</v>
      </c>
      <c r="F250" s="74"/>
      <c r="G250" s="27" t="s">
        <v>274</v>
      </c>
      <c r="H250" s="27" t="s">
        <v>355</v>
      </c>
      <c r="I250" s="24" t="s">
        <v>371</v>
      </c>
      <c r="J250" s="27">
        <v>16</v>
      </c>
      <c r="K250" s="74" t="str">
        <f>VLOOKUP(J250,Ruimtegroepen[],2,FALSE)</f>
        <v>Leslokalen theorie</v>
      </c>
      <c r="L250" s="27" t="s">
        <v>114</v>
      </c>
      <c r="M250" s="27" t="s">
        <v>139</v>
      </c>
      <c r="N250" s="107">
        <v>56.5</v>
      </c>
      <c r="O250" s="107"/>
      <c r="P250" s="118" t="str">
        <f>LEFT(VLOOKUP(Ruimtestaat[[#This Row],[Ruimte code]],Ruimtegroepen[#All],4,1),2)</f>
        <v xml:space="preserve">L </v>
      </c>
      <c r="Q250" s="118"/>
      <c r="R250" s="108">
        <v>40</v>
      </c>
      <c r="S250" s="109" t="s">
        <v>18</v>
      </c>
      <c r="T250" s="110">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0" s="110">
        <f>IF(T250&gt;0,VLOOKUP($J250,Ruimtegroepen[],3,FALSE)*VLOOKUP($L250,Vloersoorten[],3,FALSE)*VLOOKUP($S250,Frequenties[],3,FALSE)*VLOOKUP($A250,Locaties[],3,FALSE),0)</f>
        <v>0</v>
      </c>
      <c r="V250" s="111">
        <f>Ruimtestaat[[#This Row],[Uitvoeringen werkdagen]]*Ruimtestaat[[#This Row],[Oppervlak (netto)]]</f>
        <v>6780</v>
      </c>
      <c r="W250" s="112">
        <f>IF(U250&gt;0,Ruimtestaat[[#This Row],[Prest. (m2 /jaar) werkdagen]]/Ruimtestaat[[#This Row],[Norm (m2/uur) werkdagen]],0)</f>
        <v>0</v>
      </c>
      <c r="X250" s="113">
        <f>Ruimtestaat[[#This Row],[uren / jaar werkdagen]]*Tariefsopbouw!$E$35</f>
        <v>0</v>
      </c>
      <c r="Y250" s="110"/>
      <c r="Z250" s="114">
        <f>IF(Ruimtestaat[[#This Row],[Frequentie weekend]]&gt;0,VALUE(LEFT(Y250,1))*R250,0)</f>
        <v>0</v>
      </c>
      <c r="AA250" s="110">
        <f>IF($Z250&gt;0,VLOOKUP($J250,Ruimtegroepen[],3,FALSE)*VLOOKUP($L250,Vloersoorten[],3,FALSE)*VLOOKUP($Y250,Frequenties[],3,FALSE)*VLOOKUP($A246,Locaties[],3,FALSE),0)</f>
        <v>0</v>
      </c>
      <c r="AB250" s="112">
        <f>Ruimtestaat[[#This Row],[Uitvoeringen weekend]]*Ruimtestaat[[#This Row],[Oppervlak (netto)]]</f>
        <v>0</v>
      </c>
      <c r="AC250" s="115">
        <f>IF(AB250&gt;0,Ruimtestaat[[#This Row],[Prest. (m2 /jaar) weekend]]/Ruimtestaat[[#This Row],[Norm (m2/uur) weekend]],0)</f>
        <v>0</v>
      </c>
      <c r="AD250" s="116">
        <f>Ruimtestaat[[#This Row],[uren / jaar weekend]]*Tariefsopbouw!$D$40</f>
        <v>0</v>
      </c>
      <c r="AE250" s="82">
        <f>Ruimtestaat[[#This Row],[Prest. (m2 /jaar) weekend]]+Ruimtestaat[[#This Row],[Prest. (m2 /jaar) werkdagen]]</f>
        <v>6780</v>
      </c>
      <c r="AF250" s="82">
        <f>Ruimtestaat[[#This Row],[uren / jaar weekend]]+Ruimtestaat[[#This Row],[uren / jaar werkdagen]]</f>
        <v>0</v>
      </c>
      <c r="AG250" s="83">
        <f>Ruimtestaat[[#This Row],[kosten / jaar weekend]]+Ruimtestaat[[#This Row],[kosten / jaar werkdagen]]</f>
        <v>0</v>
      </c>
      <c r="AH250" s="117"/>
      <c r="HL250" s="87"/>
    </row>
    <row r="251" spans="1:220" ht="15" customHeight="1">
      <c r="A251" s="136">
        <v>1</v>
      </c>
      <c r="B251" s="27" t="str">
        <f>VLOOKUP(Ruimtestaat[[#This Row],[Code]],Locaties[#All],2,FALSE)</f>
        <v>Amstelveen College</v>
      </c>
      <c r="C251" s="27" t="str">
        <f>VLOOKUP(Ruimtestaat[[#This Row],[Code]],Locaties[#All],4,FALSE)</f>
        <v>Sportlaan 27</v>
      </c>
      <c r="D251" s="27" t="str">
        <f>VLOOKUP(Ruimtestaat[[#This Row],[Code]],Locaties[#All],5,FALSE)</f>
        <v>1185 TB</v>
      </c>
      <c r="E251" s="27" t="str">
        <f>VLOOKUP(Ruimtestaat[[#This Row],[Code]],Locaties[#All],6,FALSE)</f>
        <v>Amstelveen</v>
      </c>
      <c r="F251" s="74"/>
      <c r="G251" s="27" t="s">
        <v>274</v>
      </c>
      <c r="H251" s="27" t="s">
        <v>356</v>
      </c>
      <c r="I251" s="24" t="s">
        <v>371</v>
      </c>
      <c r="J251" s="27">
        <v>16</v>
      </c>
      <c r="K251" s="74" t="str">
        <f>VLOOKUP(J251,Ruimtegroepen[],2,FALSE)</f>
        <v>Leslokalen theorie</v>
      </c>
      <c r="L251" s="27" t="s">
        <v>114</v>
      </c>
      <c r="M251" s="27" t="s">
        <v>139</v>
      </c>
      <c r="N251" s="107">
        <v>56.5</v>
      </c>
      <c r="O251" s="107"/>
      <c r="P251" s="118" t="str">
        <f>LEFT(VLOOKUP(Ruimtestaat[[#This Row],[Ruimte code]],Ruimtegroepen[#All],4,1),2)</f>
        <v xml:space="preserve">L </v>
      </c>
      <c r="Q251" s="118"/>
      <c r="R251" s="108">
        <v>40</v>
      </c>
      <c r="S251" s="109" t="s">
        <v>18</v>
      </c>
      <c r="T251" s="110">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1" s="110">
        <f>IF(T251&gt;0,VLOOKUP($J251,Ruimtegroepen[],3,FALSE)*VLOOKUP($L251,Vloersoorten[],3,FALSE)*VLOOKUP($S251,Frequenties[],3,FALSE)*VLOOKUP($A251,Locaties[],3,FALSE),0)</f>
        <v>0</v>
      </c>
      <c r="V251" s="111">
        <f>Ruimtestaat[[#This Row],[Uitvoeringen werkdagen]]*Ruimtestaat[[#This Row],[Oppervlak (netto)]]</f>
        <v>6780</v>
      </c>
      <c r="W251" s="112">
        <f>IF(U251&gt;0,Ruimtestaat[[#This Row],[Prest. (m2 /jaar) werkdagen]]/Ruimtestaat[[#This Row],[Norm (m2/uur) werkdagen]],0)</f>
        <v>0</v>
      </c>
      <c r="X251" s="113">
        <f>Ruimtestaat[[#This Row],[uren / jaar werkdagen]]*Tariefsopbouw!$E$35</f>
        <v>0</v>
      </c>
      <c r="Y251" s="110"/>
      <c r="Z251" s="114">
        <f>IF(Ruimtestaat[[#This Row],[Frequentie weekend]]&gt;0,VALUE(LEFT(Y251,1))*R251,0)</f>
        <v>0</v>
      </c>
      <c r="AA251" s="110">
        <f>IF($Z251&gt;0,VLOOKUP($J251,Ruimtegroepen[],3,FALSE)*VLOOKUP($L251,Vloersoorten[],3,FALSE)*VLOOKUP($Y251,Frequenties[],3,FALSE)*VLOOKUP($A247,Locaties[],3,FALSE),0)</f>
        <v>0</v>
      </c>
      <c r="AB251" s="112">
        <f>Ruimtestaat[[#This Row],[Uitvoeringen weekend]]*Ruimtestaat[[#This Row],[Oppervlak (netto)]]</f>
        <v>0</v>
      </c>
      <c r="AC251" s="115">
        <f>IF(AB251&gt;0,Ruimtestaat[[#This Row],[Prest. (m2 /jaar) weekend]]/Ruimtestaat[[#This Row],[Norm (m2/uur) weekend]],0)</f>
        <v>0</v>
      </c>
      <c r="AD251" s="116">
        <f>Ruimtestaat[[#This Row],[uren / jaar weekend]]*Tariefsopbouw!$D$40</f>
        <v>0</v>
      </c>
      <c r="AE251" s="82">
        <f>Ruimtestaat[[#This Row],[Prest. (m2 /jaar) weekend]]+Ruimtestaat[[#This Row],[Prest. (m2 /jaar) werkdagen]]</f>
        <v>6780</v>
      </c>
      <c r="AF251" s="82">
        <f>Ruimtestaat[[#This Row],[uren / jaar weekend]]+Ruimtestaat[[#This Row],[uren / jaar werkdagen]]</f>
        <v>0</v>
      </c>
      <c r="AG251" s="83">
        <f>Ruimtestaat[[#This Row],[kosten / jaar weekend]]+Ruimtestaat[[#This Row],[kosten / jaar werkdagen]]</f>
        <v>0</v>
      </c>
      <c r="HL251" s="87"/>
    </row>
    <row r="252" spans="1:220" ht="15" customHeight="1">
      <c r="A252" s="136">
        <v>1</v>
      </c>
      <c r="B252" s="27" t="str">
        <f>VLOOKUP(Ruimtestaat[[#This Row],[Code]],Locaties[#All],2,FALSE)</f>
        <v>Amstelveen College</v>
      </c>
      <c r="C252" s="27" t="str">
        <f>VLOOKUP(Ruimtestaat[[#This Row],[Code]],Locaties[#All],4,FALSE)</f>
        <v>Sportlaan 27</v>
      </c>
      <c r="D252" s="27" t="str">
        <f>VLOOKUP(Ruimtestaat[[#This Row],[Code]],Locaties[#All],5,FALSE)</f>
        <v>1185 TB</v>
      </c>
      <c r="E252" s="27" t="str">
        <f>VLOOKUP(Ruimtestaat[[#This Row],[Code]],Locaties[#All],6,FALSE)</f>
        <v>Amstelveen</v>
      </c>
      <c r="F252" s="74"/>
      <c r="G252" s="27" t="s">
        <v>274</v>
      </c>
      <c r="H252" s="27" t="s">
        <v>357</v>
      </c>
      <c r="I252" s="24" t="s">
        <v>371</v>
      </c>
      <c r="J252" s="27">
        <v>16</v>
      </c>
      <c r="K252" s="74" t="str">
        <f>VLOOKUP(J252,Ruimtegroepen[],2,FALSE)</f>
        <v>Leslokalen theorie</v>
      </c>
      <c r="L252" s="27" t="s">
        <v>114</v>
      </c>
      <c r="M252" s="27" t="s">
        <v>139</v>
      </c>
      <c r="N252" s="107">
        <v>56.5</v>
      </c>
      <c r="O252" s="107"/>
      <c r="P252" s="118" t="str">
        <f>LEFT(VLOOKUP(Ruimtestaat[[#This Row],[Ruimte code]],Ruimtegroepen[#All],4,1),2)</f>
        <v xml:space="preserve">L </v>
      </c>
      <c r="Q252" s="118"/>
      <c r="R252" s="108">
        <v>40</v>
      </c>
      <c r="S252" s="109" t="s">
        <v>18</v>
      </c>
      <c r="T252" s="110">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2" s="110">
        <f>IF(T252&gt;0,VLOOKUP($J252,Ruimtegroepen[],3,FALSE)*VLOOKUP($L252,Vloersoorten[],3,FALSE)*VLOOKUP($S252,Frequenties[],3,FALSE)*VLOOKUP($A252,Locaties[],3,FALSE),0)</f>
        <v>0</v>
      </c>
      <c r="V252" s="111">
        <f>Ruimtestaat[[#This Row],[Uitvoeringen werkdagen]]*Ruimtestaat[[#This Row],[Oppervlak (netto)]]</f>
        <v>6780</v>
      </c>
      <c r="W252" s="112">
        <f>IF(U252&gt;0,Ruimtestaat[[#This Row],[Prest. (m2 /jaar) werkdagen]]/Ruimtestaat[[#This Row],[Norm (m2/uur) werkdagen]],0)</f>
        <v>0</v>
      </c>
      <c r="X252" s="113">
        <f>Ruimtestaat[[#This Row],[uren / jaar werkdagen]]*Tariefsopbouw!$E$35</f>
        <v>0</v>
      </c>
      <c r="Y252" s="110"/>
      <c r="Z252" s="114">
        <f>IF(Ruimtestaat[[#This Row],[Frequentie weekend]]&gt;0,VALUE(LEFT(Y252,1))*R252,0)</f>
        <v>0</v>
      </c>
      <c r="AA252" s="110">
        <f>IF($Z252&gt;0,VLOOKUP($J252,Ruimtegroepen[],3,FALSE)*VLOOKUP($L252,Vloersoorten[],3,FALSE)*VLOOKUP($Y252,Frequenties[],3,FALSE)*VLOOKUP($A248,Locaties[],3,FALSE),0)</f>
        <v>0</v>
      </c>
      <c r="AB252" s="112">
        <f>Ruimtestaat[[#This Row],[Uitvoeringen weekend]]*Ruimtestaat[[#This Row],[Oppervlak (netto)]]</f>
        <v>0</v>
      </c>
      <c r="AC252" s="115">
        <f>IF(AB252&gt;0,Ruimtestaat[[#This Row],[Prest. (m2 /jaar) weekend]]/Ruimtestaat[[#This Row],[Norm (m2/uur) weekend]],0)</f>
        <v>0</v>
      </c>
      <c r="AD252" s="116">
        <f>Ruimtestaat[[#This Row],[uren / jaar weekend]]*Tariefsopbouw!$D$40</f>
        <v>0</v>
      </c>
      <c r="AE252" s="82">
        <f>Ruimtestaat[[#This Row],[Prest. (m2 /jaar) weekend]]+Ruimtestaat[[#This Row],[Prest. (m2 /jaar) werkdagen]]</f>
        <v>6780</v>
      </c>
      <c r="AF252" s="82">
        <f>Ruimtestaat[[#This Row],[uren / jaar weekend]]+Ruimtestaat[[#This Row],[uren / jaar werkdagen]]</f>
        <v>0</v>
      </c>
      <c r="AG252" s="83">
        <f>Ruimtestaat[[#This Row],[kosten / jaar weekend]]+Ruimtestaat[[#This Row],[kosten / jaar werkdagen]]</f>
        <v>0</v>
      </c>
      <c r="HL252" s="87"/>
    </row>
    <row r="253" spans="1:220" ht="15" customHeight="1">
      <c r="A253" s="136">
        <v>1</v>
      </c>
      <c r="B253" s="27" t="str">
        <f>VLOOKUP(Ruimtestaat[[#This Row],[Code]],Locaties[#All],2,FALSE)</f>
        <v>Amstelveen College</v>
      </c>
      <c r="C253" s="27" t="str">
        <f>VLOOKUP(Ruimtestaat[[#This Row],[Code]],Locaties[#All],4,FALSE)</f>
        <v>Sportlaan 27</v>
      </c>
      <c r="D253" s="27" t="str">
        <f>VLOOKUP(Ruimtestaat[[#This Row],[Code]],Locaties[#All],5,FALSE)</f>
        <v>1185 TB</v>
      </c>
      <c r="E253" s="27" t="str">
        <f>VLOOKUP(Ruimtestaat[[#This Row],[Code]],Locaties[#All],6,FALSE)</f>
        <v>Amstelveen</v>
      </c>
      <c r="F253" s="74"/>
      <c r="G253" s="27" t="s">
        <v>274</v>
      </c>
      <c r="H253" s="27" t="s">
        <v>358</v>
      </c>
      <c r="I253" s="24" t="s">
        <v>371</v>
      </c>
      <c r="J253" s="27">
        <v>16</v>
      </c>
      <c r="K253" s="74" t="str">
        <f>VLOOKUP(J253,Ruimtegroepen[],2,FALSE)</f>
        <v>Leslokalen theorie</v>
      </c>
      <c r="L253" s="27" t="s">
        <v>114</v>
      </c>
      <c r="M253" s="27" t="s">
        <v>139</v>
      </c>
      <c r="N253" s="107">
        <v>30.2</v>
      </c>
      <c r="O253" s="107"/>
      <c r="P253" s="118" t="str">
        <f>LEFT(VLOOKUP(Ruimtestaat[[#This Row],[Ruimte code]],Ruimtegroepen[#All],4,1),2)</f>
        <v xml:space="preserve">L </v>
      </c>
      <c r="Q253" s="118"/>
      <c r="R253" s="108">
        <v>40</v>
      </c>
      <c r="S253" s="109" t="s">
        <v>18</v>
      </c>
      <c r="T253" s="110">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3" s="110">
        <f>IF(T253&gt;0,VLOOKUP($J253,Ruimtegroepen[],3,FALSE)*VLOOKUP($L253,Vloersoorten[],3,FALSE)*VLOOKUP($S253,Frequenties[],3,FALSE)*VLOOKUP($A253,Locaties[],3,FALSE),0)</f>
        <v>0</v>
      </c>
      <c r="V253" s="111">
        <f>Ruimtestaat[[#This Row],[Uitvoeringen werkdagen]]*Ruimtestaat[[#This Row],[Oppervlak (netto)]]</f>
        <v>3624</v>
      </c>
      <c r="W253" s="112">
        <f>IF(U253&gt;0,Ruimtestaat[[#This Row],[Prest. (m2 /jaar) werkdagen]]/Ruimtestaat[[#This Row],[Norm (m2/uur) werkdagen]],0)</f>
        <v>0</v>
      </c>
      <c r="X253" s="113">
        <f>Ruimtestaat[[#This Row],[uren / jaar werkdagen]]*Tariefsopbouw!$E$35</f>
        <v>0</v>
      </c>
      <c r="Y253" s="110"/>
      <c r="Z253" s="114">
        <f>IF(Ruimtestaat[[#This Row],[Frequentie weekend]]&gt;0,VALUE(LEFT(Y253,1))*R253,0)</f>
        <v>0</v>
      </c>
      <c r="AA253" s="110">
        <f>IF($Z253&gt;0,VLOOKUP($J253,Ruimtegroepen[],3,FALSE)*VLOOKUP($L253,Vloersoorten[],3,FALSE)*VLOOKUP($Y253,Frequenties[],3,FALSE)*VLOOKUP($A249,Locaties[],3,FALSE),0)</f>
        <v>0</v>
      </c>
      <c r="AB253" s="112">
        <f>Ruimtestaat[[#This Row],[Uitvoeringen weekend]]*Ruimtestaat[[#This Row],[Oppervlak (netto)]]</f>
        <v>0</v>
      </c>
      <c r="AC253" s="115">
        <f>IF(AB253&gt;0,Ruimtestaat[[#This Row],[Prest. (m2 /jaar) weekend]]/Ruimtestaat[[#This Row],[Norm (m2/uur) weekend]],0)</f>
        <v>0</v>
      </c>
      <c r="AD253" s="116">
        <f>Ruimtestaat[[#This Row],[uren / jaar weekend]]*Tariefsopbouw!$D$40</f>
        <v>0</v>
      </c>
      <c r="AE253" s="82">
        <f>Ruimtestaat[[#This Row],[Prest. (m2 /jaar) weekend]]+Ruimtestaat[[#This Row],[Prest. (m2 /jaar) werkdagen]]</f>
        <v>3624</v>
      </c>
      <c r="AF253" s="82">
        <f>Ruimtestaat[[#This Row],[uren / jaar weekend]]+Ruimtestaat[[#This Row],[uren / jaar werkdagen]]</f>
        <v>0</v>
      </c>
      <c r="AG253" s="83">
        <f>Ruimtestaat[[#This Row],[kosten / jaar weekend]]+Ruimtestaat[[#This Row],[kosten / jaar werkdagen]]</f>
        <v>0</v>
      </c>
      <c r="HL253" s="87"/>
    </row>
    <row r="254" spans="1:220" ht="15" customHeight="1">
      <c r="A254" s="136">
        <v>1</v>
      </c>
      <c r="B254" s="27" t="str">
        <f>VLOOKUP(Ruimtestaat[[#This Row],[Code]],Locaties[#All],2,FALSE)</f>
        <v>Amstelveen College</v>
      </c>
      <c r="C254" s="27" t="str">
        <f>VLOOKUP(Ruimtestaat[[#This Row],[Code]],Locaties[#All],4,FALSE)</f>
        <v>Sportlaan 27</v>
      </c>
      <c r="D254" s="27" t="str">
        <f>VLOOKUP(Ruimtestaat[[#This Row],[Code]],Locaties[#All],5,FALSE)</f>
        <v>1185 TB</v>
      </c>
      <c r="E254" s="27" t="str">
        <f>VLOOKUP(Ruimtestaat[[#This Row],[Code]],Locaties[#All],6,FALSE)</f>
        <v>Amstelveen</v>
      </c>
      <c r="F254" s="74"/>
      <c r="G254" s="27" t="s">
        <v>274</v>
      </c>
      <c r="H254" s="27" t="s">
        <v>359</v>
      </c>
      <c r="I254" s="24" t="s">
        <v>371</v>
      </c>
      <c r="J254" s="27">
        <v>16</v>
      </c>
      <c r="K254" s="74" t="str">
        <f>VLOOKUP(J254,Ruimtegroepen[],2,FALSE)</f>
        <v>Leslokalen theorie</v>
      </c>
      <c r="L254" s="27" t="s">
        <v>114</v>
      </c>
      <c r="M254" s="27" t="s">
        <v>139</v>
      </c>
      <c r="N254" s="107">
        <v>56.8</v>
      </c>
      <c r="O254" s="107"/>
      <c r="P254" s="118" t="str">
        <f>LEFT(VLOOKUP(Ruimtestaat[[#This Row],[Ruimte code]],Ruimtegroepen[#All],4,1),2)</f>
        <v xml:space="preserve">L </v>
      </c>
      <c r="Q254" s="118"/>
      <c r="R254" s="108">
        <v>40</v>
      </c>
      <c r="S254" s="109" t="s">
        <v>18</v>
      </c>
      <c r="T254" s="110">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4" s="110">
        <f>IF(T254&gt;0,VLOOKUP($J254,Ruimtegroepen[],3,FALSE)*VLOOKUP($L254,Vloersoorten[],3,FALSE)*VLOOKUP($S254,Frequenties[],3,FALSE)*VLOOKUP($A254,Locaties[],3,FALSE),0)</f>
        <v>0</v>
      </c>
      <c r="V254" s="111">
        <f>Ruimtestaat[[#This Row],[Uitvoeringen werkdagen]]*Ruimtestaat[[#This Row],[Oppervlak (netto)]]</f>
        <v>6816</v>
      </c>
      <c r="W254" s="112">
        <f>IF(U254&gt;0,Ruimtestaat[[#This Row],[Prest. (m2 /jaar) werkdagen]]/Ruimtestaat[[#This Row],[Norm (m2/uur) werkdagen]],0)</f>
        <v>0</v>
      </c>
      <c r="X254" s="113">
        <f>Ruimtestaat[[#This Row],[uren / jaar werkdagen]]*Tariefsopbouw!$E$35</f>
        <v>0</v>
      </c>
      <c r="Y254" s="110"/>
      <c r="Z254" s="114">
        <f>IF(Ruimtestaat[[#This Row],[Frequentie weekend]]&gt;0,VALUE(LEFT(Y254,1))*R254,0)</f>
        <v>0</v>
      </c>
      <c r="AA254" s="110">
        <f>IF($Z254&gt;0,VLOOKUP($J254,Ruimtegroepen[],3,FALSE)*VLOOKUP($L254,Vloersoorten[],3,FALSE)*VLOOKUP($Y254,Frequenties[],3,FALSE)*VLOOKUP($A250,Locaties[],3,FALSE),0)</f>
        <v>0</v>
      </c>
      <c r="AB254" s="112">
        <f>Ruimtestaat[[#This Row],[Uitvoeringen weekend]]*Ruimtestaat[[#This Row],[Oppervlak (netto)]]</f>
        <v>0</v>
      </c>
      <c r="AC254" s="115">
        <f>IF(AB254&gt;0,Ruimtestaat[[#This Row],[Prest. (m2 /jaar) weekend]]/Ruimtestaat[[#This Row],[Norm (m2/uur) weekend]],0)</f>
        <v>0</v>
      </c>
      <c r="AD254" s="116">
        <f>Ruimtestaat[[#This Row],[uren / jaar weekend]]*Tariefsopbouw!$D$40</f>
        <v>0</v>
      </c>
      <c r="AE254" s="82">
        <f>Ruimtestaat[[#This Row],[Prest. (m2 /jaar) weekend]]+Ruimtestaat[[#This Row],[Prest. (m2 /jaar) werkdagen]]</f>
        <v>6816</v>
      </c>
      <c r="AF254" s="82">
        <f>Ruimtestaat[[#This Row],[uren / jaar weekend]]+Ruimtestaat[[#This Row],[uren / jaar werkdagen]]</f>
        <v>0</v>
      </c>
      <c r="AG254" s="83">
        <f>Ruimtestaat[[#This Row],[kosten / jaar weekend]]+Ruimtestaat[[#This Row],[kosten / jaar werkdagen]]</f>
        <v>0</v>
      </c>
      <c r="HL254" s="87"/>
    </row>
    <row r="255" spans="1:220" ht="15" customHeight="1">
      <c r="A255" s="136">
        <v>1</v>
      </c>
      <c r="B255" s="27" t="str">
        <f>VLOOKUP(Ruimtestaat[[#This Row],[Code]],Locaties[#All],2,FALSE)</f>
        <v>Amstelveen College</v>
      </c>
      <c r="C255" s="27" t="str">
        <f>VLOOKUP(Ruimtestaat[[#This Row],[Code]],Locaties[#All],4,FALSE)</f>
        <v>Sportlaan 27</v>
      </c>
      <c r="D255" s="27" t="str">
        <f>VLOOKUP(Ruimtestaat[[#This Row],[Code]],Locaties[#All],5,FALSE)</f>
        <v>1185 TB</v>
      </c>
      <c r="E255" s="27" t="str">
        <f>VLOOKUP(Ruimtestaat[[#This Row],[Code]],Locaties[#All],6,FALSE)</f>
        <v>Amstelveen</v>
      </c>
      <c r="F255" s="74"/>
      <c r="G255" s="27" t="s">
        <v>274</v>
      </c>
      <c r="H255" s="27" t="s">
        <v>360</v>
      </c>
      <c r="I255" s="24" t="s">
        <v>371</v>
      </c>
      <c r="J255" s="27">
        <v>16</v>
      </c>
      <c r="K255" s="74" t="str">
        <f>VLOOKUP(J255,Ruimtegroepen[],2,FALSE)</f>
        <v>Leslokalen theorie</v>
      </c>
      <c r="L255" s="27" t="s">
        <v>114</v>
      </c>
      <c r="M255" s="27" t="s">
        <v>139</v>
      </c>
      <c r="N255" s="107">
        <v>56.8</v>
      </c>
      <c r="O255" s="107"/>
      <c r="P255" s="118" t="str">
        <f>LEFT(VLOOKUP(Ruimtestaat[[#This Row],[Ruimte code]],Ruimtegroepen[#All],4,1),2)</f>
        <v xml:space="preserve">L </v>
      </c>
      <c r="Q255" s="118"/>
      <c r="R255" s="108">
        <v>40</v>
      </c>
      <c r="S255" s="109" t="s">
        <v>18</v>
      </c>
      <c r="T255" s="110">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5" s="110">
        <f>IF(T255&gt;0,VLOOKUP($J255,Ruimtegroepen[],3,FALSE)*VLOOKUP($L255,Vloersoorten[],3,FALSE)*VLOOKUP($S255,Frequenties[],3,FALSE)*VLOOKUP($A255,Locaties[],3,FALSE),0)</f>
        <v>0</v>
      </c>
      <c r="V255" s="111">
        <f>Ruimtestaat[[#This Row],[Uitvoeringen werkdagen]]*Ruimtestaat[[#This Row],[Oppervlak (netto)]]</f>
        <v>6816</v>
      </c>
      <c r="W255" s="112">
        <f>IF(U255&gt;0,Ruimtestaat[[#This Row],[Prest. (m2 /jaar) werkdagen]]/Ruimtestaat[[#This Row],[Norm (m2/uur) werkdagen]],0)</f>
        <v>0</v>
      </c>
      <c r="X255" s="113">
        <f>Ruimtestaat[[#This Row],[uren / jaar werkdagen]]*Tariefsopbouw!$E$35</f>
        <v>0</v>
      </c>
      <c r="Y255" s="110"/>
      <c r="Z255" s="114">
        <f>IF(Ruimtestaat[[#This Row],[Frequentie weekend]]&gt;0,VALUE(LEFT(Y255,1))*R255,0)</f>
        <v>0</v>
      </c>
      <c r="AA255" s="110">
        <f>IF($Z255&gt;0,VLOOKUP($J255,Ruimtegroepen[],3,FALSE)*VLOOKUP($L255,Vloersoorten[],3,FALSE)*VLOOKUP($Y255,Frequenties[],3,FALSE)*VLOOKUP($A251,Locaties[],3,FALSE),0)</f>
        <v>0</v>
      </c>
      <c r="AB255" s="112">
        <f>Ruimtestaat[[#This Row],[Uitvoeringen weekend]]*Ruimtestaat[[#This Row],[Oppervlak (netto)]]</f>
        <v>0</v>
      </c>
      <c r="AC255" s="115">
        <f>IF(AB255&gt;0,Ruimtestaat[[#This Row],[Prest. (m2 /jaar) weekend]]/Ruimtestaat[[#This Row],[Norm (m2/uur) weekend]],0)</f>
        <v>0</v>
      </c>
      <c r="AD255" s="116">
        <f>Ruimtestaat[[#This Row],[uren / jaar weekend]]*Tariefsopbouw!$D$40</f>
        <v>0</v>
      </c>
      <c r="AE255" s="82">
        <f>Ruimtestaat[[#This Row],[Prest. (m2 /jaar) weekend]]+Ruimtestaat[[#This Row],[Prest. (m2 /jaar) werkdagen]]</f>
        <v>6816</v>
      </c>
      <c r="AF255" s="82">
        <f>Ruimtestaat[[#This Row],[uren / jaar weekend]]+Ruimtestaat[[#This Row],[uren / jaar werkdagen]]</f>
        <v>0</v>
      </c>
      <c r="AG255" s="83">
        <f>Ruimtestaat[[#This Row],[kosten / jaar weekend]]+Ruimtestaat[[#This Row],[kosten / jaar werkdagen]]</f>
        <v>0</v>
      </c>
      <c r="HL255" s="87"/>
    </row>
    <row r="256" spans="1:220" ht="15" customHeight="1">
      <c r="A256" s="136">
        <v>1</v>
      </c>
      <c r="B256" s="27" t="str">
        <f>VLOOKUP(Ruimtestaat[[#This Row],[Code]],Locaties[#All],2,FALSE)</f>
        <v>Amstelveen College</v>
      </c>
      <c r="C256" s="27" t="str">
        <f>VLOOKUP(Ruimtestaat[[#This Row],[Code]],Locaties[#All],4,FALSE)</f>
        <v>Sportlaan 27</v>
      </c>
      <c r="D256" s="27" t="str">
        <f>VLOOKUP(Ruimtestaat[[#This Row],[Code]],Locaties[#All],5,FALSE)</f>
        <v>1185 TB</v>
      </c>
      <c r="E256" s="27" t="str">
        <f>VLOOKUP(Ruimtestaat[[#This Row],[Code]],Locaties[#All],6,FALSE)</f>
        <v>Amstelveen</v>
      </c>
      <c r="F256" s="74"/>
      <c r="G256" s="27" t="s">
        <v>274</v>
      </c>
      <c r="H256" s="27" t="s">
        <v>361</v>
      </c>
      <c r="I256" s="24" t="s">
        <v>375</v>
      </c>
      <c r="J256" s="27">
        <v>2</v>
      </c>
      <c r="K256" s="74" t="str">
        <f>VLOOKUP(J256,Ruimtegroepen[],2,FALSE)</f>
        <v>Kantoren</v>
      </c>
      <c r="L256" s="27" t="s">
        <v>113</v>
      </c>
      <c r="M256" s="27" t="s">
        <v>39</v>
      </c>
      <c r="N256" s="107">
        <v>12.9</v>
      </c>
      <c r="O256" s="107"/>
      <c r="P256" s="118" t="str">
        <f>LEFT(VLOOKUP(Ruimtestaat[[#This Row],[Ruimte code]],Ruimtegroepen[#All],4,1),2)</f>
        <v xml:space="preserve">B </v>
      </c>
      <c r="Q256" s="118"/>
      <c r="R256" s="108">
        <v>42</v>
      </c>
      <c r="S256" s="109" t="s">
        <v>15</v>
      </c>
      <c r="T256" s="110">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56" s="110">
        <f>IF(T256&gt;0,VLOOKUP($J256,Ruimtegroepen[],3,FALSE)*VLOOKUP($L256,Vloersoorten[],3,FALSE)*VLOOKUP($S256,Frequenties[],3,FALSE)*VLOOKUP($A256,Locaties[],3,FALSE),0)</f>
        <v>0</v>
      </c>
      <c r="V256" s="111">
        <f>Ruimtestaat[[#This Row],[Uitvoeringen werkdagen]]*Ruimtestaat[[#This Row],[Oppervlak (netto)]]</f>
        <v>541.80000000000007</v>
      </c>
      <c r="W256" s="112">
        <f>IF(U256&gt;0,Ruimtestaat[[#This Row],[Prest. (m2 /jaar) werkdagen]]/Ruimtestaat[[#This Row],[Norm (m2/uur) werkdagen]],0)</f>
        <v>0</v>
      </c>
      <c r="X256" s="113">
        <f>Ruimtestaat[[#This Row],[uren / jaar werkdagen]]*Tariefsopbouw!$E$35</f>
        <v>0</v>
      </c>
      <c r="Y256" s="110"/>
      <c r="Z256" s="114">
        <f>IF(Ruimtestaat[[#This Row],[Frequentie weekend]]&gt;0,VALUE(LEFT(Y256,1))*R256,0)</f>
        <v>0</v>
      </c>
      <c r="AA256" s="110">
        <f>IF($Z256&gt;0,VLOOKUP($J256,Ruimtegroepen[],3,FALSE)*VLOOKUP($L256,Vloersoorten[],3,FALSE)*VLOOKUP($Y256,Frequenties[],3,FALSE)*VLOOKUP($A252,Locaties[],3,FALSE),0)</f>
        <v>0</v>
      </c>
      <c r="AB256" s="112">
        <f>Ruimtestaat[[#This Row],[Uitvoeringen weekend]]*Ruimtestaat[[#This Row],[Oppervlak (netto)]]</f>
        <v>0</v>
      </c>
      <c r="AC256" s="115">
        <f>IF(AB256&gt;0,Ruimtestaat[[#This Row],[Prest. (m2 /jaar) weekend]]/Ruimtestaat[[#This Row],[Norm (m2/uur) weekend]],0)</f>
        <v>0</v>
      </c>
      <c r="AD256" s="116">
        <f>Ruimtestaat[[#This Row],[uren / jaar weekend]]*Tariefsopbouw!$D$40</f>
        <v>0</v>
      </c>
      <c r="AE256" s="82">
        <f>Ruimtestaat[[#This Row],[Prest. (m2 /jaar) weekend]]+Ruimtestaat[[#This Row],[Prest. (m2 /jaar) werkdagen]]</f>
        <v>541.80000000000007</v>
      </c>
      <c r="AF256" s="82">
        <f>Ruimtestaat[[#This Row],[uren / jaar weekend]]+Ruimtestaat[[#This Row],[uren / jaar werkdagen]]</f>
        <v>0</v>
      </c>
      <c r="AG256" s="83">
        <f>Ruimtestaat[[#This Row],[kosten / jaar weekend]]+Ruimtestaat[[#This Row],[kosten / jaar werkdagen]]</f>
        <v>0</v>
      </c>
      <c r="HL256" s="87"/>
    </row>
    <row r="257" spans="1:220" ht="15" customHeight="1">
      <c r="A257" s="136">
        <v>1</v>
      </c>
      <c r="B257" s="27" t="str">
        <f>VLOOKUP(Ruimtestaat[[#This Row],[Code]],Locaties[#All],2,FALSE)</f>
        <v>Amstelveen College</v>
      </c>
      <c r="C257" s="27" t="str">
        <f>VLOOKUP(Ruimtestaat[[#This Row],[Code]],Locaties[#All],4,FALSE)</f>
        <v>Sportlaan 27</v>
      </c>
      <c r="D257" s="27" t="str">
        <f>VLOOKUP(Ruimtestaat[[#This Row],[Code]],Locaties[#All],5,FALSE)</f>
        <v>1185 TB</v>
      </c>
      <c r="E257" s="27" t="str">
        <f>VLOOKUP(Ruimtestaat[[#This Row],[Code]],Locaties[#All],6,FALSE)</f>
        <v>Amstelveen</v>
      </c>
      <c r="F257" s="74"/>
      <c r="G257" s="27" t="s">
        <v>274</v>
      </c>
      <c r="H257" s="27" t="s">
        <v>362</v>
      </c>
      <c r="I257" s="24" t="s">
        <v>376</v>
      </c>
      <c r="J257" s="27">
        <v>2</v>
      </c>
      <c r="K257" s="74" t="str">
        <f>VLOOKUP(J257,Ruimtegroepen[],2,FALSE)</f>
        <v>Kantoren</v>
      </c>
      <c r="L257" s="27" t="s">
        <v>113</v>
      </c>
      <c r="M257" s="27" t="s">
        <v>39</v>
      </c>
      <c r="N257" s="107">
        <v>35.299999999999997</v>
      </c>
      <c r="O257" s="107"/>
      <c r="P257" s="118" t="str">
        <f>LEFT(VLOOKUP(Ruimtestaat[[#This Row],[Ruimte code]],Ruimtegroepen[#All],4,1),2)</f>
        <v xml:space="preserve">B </v>
      </c>
      <c r="Q257" s="118"/>
      <c r="R257" s="108">
        <v>42</v>
      </c>
      <c r="S257" s="109" t="s">
        <v>15</v>
      </c>
      <c r="T257" s="110">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42</v>
      </c>
      <c r="U257" s="110">
        <f>IF(T257&gt;0,VLOOKUP($J257,Ruimtegroepen[],3,FALSE)*VLOOKUP($L257,Vloersoorten[],3,FALSE)*VLOOKUP($S257,Frequenties[],3,FALSE)*VLOOKUP($A257,Locaties[],3,FALSE),0)</f>
        <v>0</v>
      </c>
      <c r="V257" s="111">
        <f>Ruimtestaat[[#This Row],[Uitvoeringen werkdagen]]*Ruimtestaat[[#This Row],[Oppervlak (netto)]]</f>
        <v>1482.6</v>
      </c>
      <c r="W257" s="112">
        <f>IF(U257&gt;0,Ruimtestaat[[#This Row],[Prest. (m2 /jaar) werkdagen]]/Ruimtestaat[[#This Row],[Norm (m2/uur) werkdagen]],0)</f>
        <v>0</v>
      </c>
      <c r="X257" s="113">
        <f>Ruimtestaat[[#This Row],[uren / jaar werkdagen]]*Tariefsopbouw!$E$35</f>
        <v>0</v>
      </c>
      <c r="Y257" s="110"/>
      <c r="Z257" s="114">
        <f>IF(Ruimtestaat[[#This Row],[Frequentie weekend]]&gt;0,VALUE(LEFT(Y257,1))*R257,0)</f>
        <v>0</v>
      </c>
      <c r="AA257" s="110">
        <f>IF($Z257&gt;0,VLOOKUP($J257,Ruimtegroepen[],3,FALSE)*VLOOKUP($L257,Vloersoorten[],3,FALSE)*VLOOKUP($Y257,Frequenties[],3,FALSE)*VLOOKUP($A253,Locaties[],3,FALSE),0)</f>
        <v>0</v>
      </c>
      <c r="AB257" s="112">
        <f>Ruimtestaat[[#This Row],[Uitvoeringen weekend]]*Ruimtestaat[[#This Row],[Oppervlak (netto)]]</f>
        <v>0</v>
      </c>
      <c r="AC257" s="115">
        <f>IF(AB257&gt;0,Ruimtestaat[[#This Row],[Prest. (m2 /jaar) weekend]]/Ruimtestaat[[#This Row],[Norm (m2/uur) weekend]],0)</f>
        <v>0</v>
      </c>
      <c r="AD257" s="116">
        <f>Ruimtestaat[[#This Row],[uren / jaar weekend]]*Tariefsopbouw!$D$40</f>
        <v>0</v>
      </c>
      <c r="AE257" s="82">
        <f>Ruimtestaat[[#This Row],[Prest. (m2 /jaar) weekend]]+Ruimtestaat[[#This Row],[Prest. (m2 /jaar) werkdagen]]</f>
        <v>1482.6</v>
      </c>
      <c r="AF257" s="82">
        <f>Ruimtestaat[[#This Row],[uren / jaar weekend]]+Ruimtestaat[[#This Row],[uren / jaar werkdagen]]</f>
        <v>0</v>
      </c>
      <c r="AG257" s="83">
        <f>Ruimtestaat[[#This Row],[kosten / jaar weekend]]+Ruimtestaat[[#This Row],[kosten / jaar werkdagen]]</f>
        <v>0</v>
      </c>
      <c r="HL257" s="87"/>
    </row>
    <row r="258" spans="1:220" ht="15" customHeight="1">
      <c r="A258" s="136">
        <v>1</v>
      </c>
      <c r="B258" s="27" t="str">
        <f>VLOOKUP(Ruimtestaat[[#This Row],[Code]],Locaties[#All],2,FALSE)</f>
        <v>Amstelveen College</v>
      </c>
      <c r="C258" s="27" t="str">
        <f>VLOOKUP(Ruimtestaat[[#This Row],[Code]],Locaties[#All],4,FALSE)</f>
        <v>Sportlaan 27</v>
      </c>
      <c r="D258" s="27" t="str">
        <f>VLOOKUP(Ruimtestaat[[#This Row],[Code]],Locaties[#All],5,FALSE)</f>
        <v>1185 TB</v>
      </c>
      <c r="E258" s="27" t="str">
        <f>VLOOKUP(Ruimtestaat[[#This Row],[Code]],Locaties[#All],6,FALSE)</f>
        <v>Amstelveen</v>
      </c>
      <c r="F258" s="74"/>
      <c r="G258" s="27" t="s">
        <v>274</v>
      </c>
      <c r="H258" s="27" t="s">
        <v>363</v>
      </c>
      <c r="I258" s="24" t="s">
        <v>373</v>
      </c>
      <c r="J258" s="27">
        <v>6</v>
      </c>
      <c r="K258" s="74" t="str">
        <f>VLOOKUP(J258,Ruimtegroepen[],2,FALSE)</f>
        <v>Gangen/hallen</v>
      </c>
      <c r="L258" s="27" t="s">
        <v>113</v>
      </c>
      <c r="M258" s="27" t="s">
        <v>39</v>
      </c>
      <c r="N258" s="107">
        <v>8.1</v>
      </c>
      <c r="O258" s="119"/>
      <c r="P258" s="120" t="str">
        <f>LEFT(VLOOKUP(Ruimtestaat[[#This Row],[Ruimte code]],Ruimtegroepen[#All],4,1),2)</f>
        <v xml:space="preserve">V </v>
      </c>
      <c r="Q258" s="120"/>
      <c r="R258" s="108">
        <v>42</v>
      </c>
      <c r="S258" s="109" t="s">
        <v>2</v>
      </c>
      <c r="T258" s="110">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58" s="110">
        <f>IF(T258&gt;0,VLOOKUP($J258,Ruimtegroepen[],3,FALSE)*VLOOKUP($L258,Vloersoorten[],3,FALSE)*VLOOKUP($S258,Frequenties[],3,FALSE)*VLOOKUP($A258,Locaties[],3,FALSE),0)</f>
        <v>0</v>
      </c>
      <c r="V258" s="111">
        <f>Ruimtestaat[[#This Row],[Uitvoeringen werkdagen]]*Ruimtestaat[[#This Row],[Oppervlak (netto)]]</f>
        <v>1701</v>
      </c>
      <c r="W258" s="112">
        <f>IF(U258&gt;0,Ruimtestaat[[#This Row],[Prest. (m2 /jaar) werkdagen]]/Ruimtestaat[[#This Row],[Norm (m2/uur) werkdagen]],0)</f>
        <v>0</v>
      </c>
      <c r="X258" s="113">
        <f>Ruimtestaat[[#This Row],[uren / jaar werkdagen]]*Tariefsopbouw!$E$35</f>
        <v>0</v>
      </c>
      <c r="Y258" s="110"/>
      <c r="Z258" s="114">
        <f>IF(Ruimtestaat[[#This Row],[Frequentie weekend]]&gt;0,VALUE(LEFT(Y258,1))*R258,0)</f>
        <v>0</v>
      </c>
      <c r="AA258" s="110">
        <f>IF($Z258&gt;0,VLOOKUP($J258,Ruimtegroepen[],3,FALSE)*VLOOKUP($L258,Vloersoorten[],3,FALSE)*VLOOKUP($Y258,Frequenties[],3,FALSE)*VLOOKUP($A254,Locaties[],3,FALSE),0)</f>
        <v>0</v>
      </c>
      <c r="AB258" s="112">
        <f>Ruimtestaat[[#This Row],[Uitvoeringen weekend]]*Ruimtestaat[[#This Row],[Oppervlak (netto)]]</f>
        <v>0</v>
      </c>
      <c r="AC258" s="115">
        <f>IF(AB258&gt;0,Ruimtestaat[[#This Row],[Prest. (m2 /jaar) weekend]]/Ruimtestaat[[#This Row],[Norm (m2/uur) weekend]],0)</f>
        <v>0</v>
      </c>
      <c r="AD258" s="116">
        <f>Ruimtestaat[[#This Row],[uren / jaar weekend]]*Tariefsopbouw!$D$40</f>
        <v>0</v>
      </c>
      <c r="AE258" s="82">
        <f>Ruimtestaat[[#This Row],[Prest. (m2 /jaar) weekend]]+Ruimtestaat[[#This Row],[Prest. (m2 /jaar) werkdagen]]</f>
        <v>1701</v>
      </c>
      <c r="AF258" s="82">
        <f>Ruimtestaat[[#This Row],[uren / jaar weekend]]+Ruimtestaat[[#This Row],[uren / jaar werkdagen]]</f>
        <v>0</v>
      </c>
      <c r="AG258" s="83">
        <f>Ruimtestaat[[#This Row],[kosten / jaar weekend]]+Ruimtestaat[[#This Row],[kosten / jaar werkdagen]]</f>
        <v>0</v>
      </c>
      <c r="HL258" s="87"/>
    </row>
    <row r="259" spans="1:220" ht="15" customHeight="1">
      <c r="A259" s="136">
        <v>1</v>
      </c>
      <c r="B259" s="27" t="str">
        <f>VLOOKUP(Ruimtestaat[[#This Row],[Code]],Locaties[#All],2,FALSE)</f>
        <v>Amstelveen College</v>
      </c>
      <c r="C259" s="27" t="str">
        <f>VLOOKUP(Ruimtestaat[[#This Row],[Code]],Locaties[#All],4,FALSE)</f>
        <v>Sportlaan 27</v>
      </c>
      <c r="D259" s="27" t="str">
        <f>VLOOKUP(Ruimtestaat[[#This Row],[Code]],Locaties[#All],5,FALSE)</f>
        <v>1185 TB</v>
      </c>
      <c r="E259" s="27" t="str">
        <f>VLOOKUP(Ruimtestaat[[#This Row],[Code]],Locaties[#All],6,FALSE)</f>
        <v>Amstelveen</v>
      </c>
      <c r="F259" s="74"/>
      <c r="G259" s="27" t="s">
        <v>274</v>
      </c>
      <c r="H259" s="27" t="s">
        <v>364</v>
      </c>
      <c r="I259" s="24" t="s">
        <v>369</v>
      </c>
      <c r="J259" s="27">
        <v>6</v>
      </c>
      <c r="K259" s="74" t="str">
        <f>VLOOKUP(J259,Ruimtegroepen[],2,FALSE)</f>
        <v>Gangen/hallen</v>
      </c>
      <c r="L259" s="27" t="s">
        <v>114</v>
      </c>
      <c r="M259" s="27" t="s">
        <v>139</v>
      </c>
      <c r="N259" s="107">
        <v>181.5</v>
      </c>
      <c r="O259" s="119"/>
      <c r="P259" s="120" t="str">
        <f>LEFT(VLOOKUP(Ruimtestaat[[#This Row],[Ruimte code]],Ruimtegroepen[#All],4,1),2)</f>
        <v xml:space="preserve">V </v>
      </c>
      <c r="Q259" s="120"/>
      <c r="R259" s="108">
        <v>42</v>
      </c>
      <c r="S259" s="109" t="s">
        <v>2</v>
      </c>
      <c r="T259" s="110">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59" s="110">
        <f>IF(T259&gt;0,VLOOKUP($J259,Ruimtegroepen[],3,FALSE)*VLOOKUP($L259,Vloersoorten[],3,FALSE)*VLOOKUP($S259,Frequenties[],3,FALSE)*VLOOKUP($A259,Locaties[],3,FALSE),0)</f>
        <v>0</v>
      </c>
      <c r="V259" s="111">
        <f>Ruimtestaat[[#This Row],[Uitvoeringen werkdagen]]*Ruimtestaat[[#This Row],[Oppervlak (netto)]]</f>
        <v>38115</v>
      </c>
      <c r="W259" s="112">
        <f>IF(U259&gt;0,Ruimtestaat[[#This Row],[Prest. (m2 /jaar) werkdagen]]/Ruimtestaat[[#This Row],[Norm (m2/uur) werkdagen]],0)</f>
        <v>0</v>
      </c>
      <c r="X259" s="113">
        <f>Ruimtestaat[[#This Row],[uren / jaar werkdagen]]*Tariefsopbouw!$E$35</f>
        <v>0</v>
      </c>
      <c r="Y259" s="110"/>
      <c r="Z259" s="114">
        <f>IF(Ruimtestaat[[#This Row],[Frequentie weekend]]&gt;0,VALUE(LEFT(Y259,1))*R259,0)</f>
        <v>0</v>
      </c>
      <c r="AA259" s="110">
        <f>IF($Z259&gt;0,VLOOKUP($J259,Ruimtegroepen[],3,FALSE)*VLOOKUP($L259,Vloersoorten[],3,FALSE)*VLOOKUP($Y259,Frequenties[],3,FALSE)*VLOOKUP($A255,Locaties[],3,FALSE),0)</f>
        <v>0</v>
      </c>
      <c r="AB259" s="112">
        <f>Ruimtestaat[[#This Row],[Uitvoeringen weekend]]*Ruimtestaat[[#This Row],[Oppervlak (netto)]]</f>
        <v>0</v>
      </c>
      <c r="AC259" s="115">
        <f>IF(AB259&gt;0,Ruimtestaat[[#This Row],[Prest. (m2 /jaar) weekend]]/Ruimtestaat[[#This Row],[Norm (m2/uur) weekend]],0)</f>
        <v>0</v>
      </c>
      <c r="AD259" s="116">
        <f>Ruimtestaat[[#This Row],[uren / jaar weekend]]*Tariefsopbouw!$D$40</f>
        <v>0</v>
      </c>
      <c r="AE259" s="82">
        <f>Ruimtestaat[[#This Row],[Prest. (m2 /jaar) weekend]]+Ruimtestaat[[#This Row],[Prest. (m2 /jaar) werkdagen]]</f>
        <v>38115</v>
      </c>
      <c r="AF259" s="82">
        <f>Ruimtestaat[[#This Row],[uren / jaar weekend]]+Ruimtestaat[[#This Row],[uren / jaar werkdagen]]</f>
        <v>0</v>
      </c>
      <c r="AG259" s="83">
        <f>Ruimtestaat[[#This Row],[kosten / jaar weekend]]+Ruimtestaat[[#This Row],[kosten / jaar werkdagen]]</f>
        <v>0</v>
      </c>
      <c r="HL259" s="87"/>
    </row>
    <row r="260" spans="1:220" ht="15" customHeight="1">
      <c r="A260" s="136">
        <v>1</v>
      </c>
      <c r="B260" s="27" t="str">
        <f>VLOOKUP(Ruimtestaat[[#This Row],[Code]],Locaties[#All],2,FALSE)</f>
        <v>Amstelveen College</v>
      </c>
      <c r="C260" s="27" t="str">
        <f>VLOOKUP(Ruimtestaat[[#This Row],[Code]],Locaties[#All],4,FALSE)</f>
        <v>Sportlaan 27</v>
      </c>
      <c r="D260" s="27" t="str">
        <f>VLOOKUP(Ruimtestaat[[#This Row],[Code]],Locaties[#All],5,FALSE)</f>
        <v>1185 TB</v>
      </c>
      <c r="E260" s="27" t="str">
        <f>VLOOKUP(Ruimtestaat[[#This Row],[Code]],Locaties[#All],6,FALSE)</f>
        <v>Amstelveen</v>
      </c>
      <c r="F260" s="74" t="s">
        <v>365</v>
      </c>
      <c r="G260" s="27" t="s">
        <v>366</v>
      </c>
      <c r="H260" s="27">
        <v>1</v>
      </c>
      <c r="I260" s="24" t="s">
        <v>369</v>
      </c>
      <c r="J260" s="27">
        <v>6</v>
      </c>
      <c r="K260" s="74" t="str">
        <f>VLOOKUP(J260,Ruimtegroepen[],2,FALSE)</f>
        <v>Gangen/hallen</v>
      </c>
      <c r="L260" s="27" t="s">
        <v>114</v>
      </c>
      <c r="M260" s="27" t="s">
        <v>139</v>
      </c>
      <c r="N260" s="119">
        <v>40</v>
      </c>
      <c r="O260" s="119"/>
      <c r="P260" s="120" t="str">
        <f>LEFT(VLOOKUP(Ruimtestaat[[#This Row],[Ruimte code]],Ruimtegroepen[#All],4,1),2)</f>
        <v xml:space="preserve">V </v>
      </c>
      <c r="Q260" s="120"/>
      <c r="R260" s="108">
        <v>42</v>
      </c>
      <c r="S260" s="109" t="s">
        <v>2</v>
      </c>
      <c r="T260" s="110">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U260" s="110">
        <f>IF(T260&gt;0,VLOOKUP($J260,Ruimtegroepen[],3,FALSE)*VLOOKUP($L260,Vloersoorten[],3,FALSE)*VLOOKUP($S260,Frequenties[],3,FALSE)*VLOOKUP($A260,Locaties[],3,FALSE),0)</f>
        <v>0</v>
      </c>
      <c r="V260" s="111">
        <f>Ruimtestaat[[#This Row],[Uitvoeringen werkdagen]]*Ruimtestaat[[#This Row],[Oppervlak (netto)]]</f>
        <v>8400</v>
      </c>
      <c r="W260" s="112">
        <f>IF(U260&gt;0,Ruimtestaat[[#This Row],[Prest. (m2 /jaar) werkdagen]]/Ruimtestaat[[#This Row],[Norm (m2/uur) werkdagen]],0)</f>
        <v>0</v>
      </c>
      <c r="X260" s="113">
        <f>Ruimtestaat[[#This Row],[uren / jaar werkdagen]]*Tariefsopbouw!$E$35</f>
        <v>0</v>
      </c>
      <c r="Y260" s="110"/>
      <c r="Z260" s="114">
        <f>IF(Ruimtestaat[[#This Row],[Frequentie weekend]]&gt;0,VALUE(LEFT(Y260,1))*R260,0)</f>
        <v>0</v>
      </c>
      <c r="AA260" s="110">
        <f>IF($Z260&gt;0,VLOOKUP($J260,Ruimtegroepen[],3,FALSE)*VLOOKUP($L260,Vloersoorten[],3,FALSE)*VLOOKUP($Y260,Frequenties[],3,FALSE)*VLOOKUP($A256,Locaties[],3,FALSE),0)</f>
        <v>0</v>
      </c>
      <c r="AB260" s="112">
        <f>Ruimtestaat[[#This Row],[Uitvoeringen weekend]]*Ruimtestaat[[#This Row],[Oppervlak (netto)]]</f>
        <v>0</v>
      </c>
      <c r="AC260" s="115">
        <f>IF(AB260&gt;0,Ruimtestaat[[#This Row],[Prest. (m2 /jaar) weekend]]/Ruimtestaat[[#This Row],[Norm (m2/uur) weekend]],0)</f>
        <v>0</v>
      </c>
      <c r="AD260" s="116">
        <f>Ruimtestaat[[#This Row],[uren / jaar weekend]]*Tariefsopbouw!$D$40</f>
        <v>0</v>
      </c>
      <c r="AE260" s="82">
        <f>Ruimtestaat[[#This Row],[Prest. (m2 /jaar) weekend]]+Ruimtestaat[[#This Row],[Prest. (m2 /jaar) werkdagen]]</f>
        <v>8400</v>
      </c>
      <c r="AF260" s="82">
        <f>Ruimtestaat[[#This Row],[uren / jaar weekend]]+Ruimtestaat[[#This Row],[uren / jaar werkdagen]]</f>
        <v>0</v>
      </c>
      <c r="AG260" s="83">
        <f>Ruimtestaat[[#This Row],[kosten / jaar weekend]]+Ruimtestaat[[#This Row],[kosten / jaar werkdagen]]</f>
        <v>0</v>
      </c>
      <c r="HL260" s="87"/>
    </row>
    <row r="261" spans="1:220" ht="15" customHeight="1">
      <c r="A261" s="136">
        <v>1</v>
      </c>
      <c r="B261" s="27" t="str">
        <f>VLOOKUP(Ruimtestaat[[#This Row],[Code]],Locaties[#All],2,FALSE)</f>
        <v>Amstelveen College</v>
      </c>
      <c r="C261" s="27" t="str">
        <f>VLOOKUP(Ruimtestaat[[#This Row],[Code]],Locaties[#All],4,FALSE)</f>
        <v>Sportlaan 27</v>
      </c>
      <c r="D261" s="27" t="str">
        <f>VLOOKUP(Ruimtestaat[[#This Row],[Code]],Locaties[#All],5,FALSE)</f>
        <v>1185 TB</v>
      </c>
      <c r="E261" s="27" t="str">
        <f>VLOOKUP(Ruimtestaat[[#This Row],[Code]],Locaties[#All],6,FALSE)</f>
        <v>Amstelveen</v>
      </c>
      <c r="F261" s="74" t="s">
        <v>365</v>
      </c>
      <c r="G261" s="27" t="s">
        <v>366</v>
      </c>
      <c r="H261" s="27">
        <v>2</v>
      </c>
      <c r="I261" s="24" t="s">
        <v>368</v>
      </c>
      <c r="J261" s="27">
        <v>16</v>
      </c>
      <c r="K261" s="74" t="str">
        <f>VLOOKUP(J261,Ruimtegroepen[],2,FALSE)</f>
        <v>Leslokalen theorie</v>
      </c>
      <c r="L261" s="27" t="s">
        <v>114</v>
      </c>
      <c r="M261" s="27" t="s">
        <v>139</v>
      </c>
      <c r="N261" s="119">
        <v>52</v>
      </c>
      <c r="O261" s="119"/>
      <c r="P261" s="120" t="str">
        <f>LEFT(VLOOKUP(Ruimtestaat[[#This Row],[Ruimte code]],Ruimtegroepen[#All],4,1),2)</f>
        <v xml:space="preserve">L </v>
      </c>
      <c r="Q261" s="120"/>
      <c r="R261" s="108">
        <v>40</v>
      </c>
      <c r="S261" s="109" t="s">
        <v>18</v>
      </c>
      <c r="T261" s="110">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61" s="110">
        <f>IF(T261&gt;0,VLOOKUP($J261,Ruimtegroepen[],3,FALSE)*VLOOKUP($L261,Vloersoorten[],3,FALSE)*VLOOKUP($S261,Frequenties[],3,FALSE)*VLOOKUP($A261,Locaties[],3,FALSE),0)</f>
        <v>0</v>
      </c>
      <c r="V261" s="111">
        <f>Ruimtestaat[[#This Row],[Uitvoeringen werkdagen]]*Ruimtestaat[[#This Row],[Oppervlak (netto)]]</f>
        <v>6240</v>
      </c>
      <c r="W261" s="112">
        <f>IF(U261&gt;0,Ruimtestaat[[#This Row],[Prest. (m2 /jaar) werkdagen]]/Ruimtestaat[[#This Row],[Norm (m2/uur) werkdagen]],0)</f>
        <v>0</v>
      </c>
      <c r="X261" s="113">
        <f>Ruimtestaat[[#This Row],[uren / jaar werkdagen]]*Tariefsopbouw!$E$35</f>
        <v>0</v>
      </c>
      <c r="Y261" s="110"/>
      <c r="Z261" s="114">
        <f>IF(Ruimtestaat[[#This Row],[Frequentie weekend]]&gt;0,VALUE(LEFT(Y261,1))*R261,0)</f>
        <v>0</v>
      </c>
      <c r="AA261" s="110">
        <f>IF($Z261&gt;0,VLOOKUP($J261,Ruimtegroepen[],3,FALSE)*VLOOKUP($L261,Vloersoorten[],3,FALSE)*VLOOKUP($Y261,Frequenties[],3,FALSE)*VLOOKUP($A257,Locaties[],3,FALSE),0)</f>
        <v>0</v>
      </c>
      <c r="AB261" s="112">
        <f>Ruimtestaat[[#This Row],[Uitvoeringen weekend]]*Ruimtestaat[[#This Row],[Oppervlak (netto)]]</f>
        <v>0</v>
      </c>
      <c r="AC261" s="115">
        <f>IF(AB261&gt;0,Ruimtestaat[[#This Row],[Prest. (m2 /jaar) weekend]]/Ruimtestaat[[#This Row],[Norm (m2/uur) weekend]],0)</f>
        <v>0</v>
      </c>
      <c r="AD261" s="116">
        <f>Ruimtestaat[[#This Row],[uren / jaar weekend]]*Tariefsopbouw!$D$40</f>
        <v>0</v>
      </c>
      <c r="AE261" s="82">
        <f>Ruimtestaat[[#This Row],[Prest. (m2 /jaar) weekend]]+Ruimtestaat[[#This Row],[Prest. (m2 /jaar) werkdagen]]</f>
        <v>6240</v>
      </c>
      <c r="AF261" s="82">
        <f>Ruimtestaat[[#This Row],[uren / jaar weekend]]+Ruimtestaat[[#This Row],[uren / jaar werkdagen]]</f>
        <v>0</v>
      </c>
      <c r="AG261" s="83">
        <f>Ruimtestaat[[#This Row],[kosten / jaar weekend]]+Ruimtestaat[[#This Row],[kosten / jaar werkdagen]]</f>
        <v>0</v>
      </c>
      <c r="HL261" s="87"/>
    </row>
    <row r="262" spans="1:220" ht="15" customHeight="1">
      <c r="A262" s="136">
        <v>1</v>
      </c>
      <c r="B262" s="27" t="str">
        <f>VLOOKUP(Ruimtestaat[[#This Row],[Code]],Locaties[#All],2,FALSE)</f>
        <v>Amstelveen College</v>
      </c>
      <c r="C262" s="27" t="str">
        <f>VLOOKUP(Ruimtestaat[[#This Row],[Code]],Locaties[#All],4,FALSE)</f>
        <v>Sportlaan 27</v>
      </c>
      <c r="D262" s="27" t="str">
        <f>VLOOKUP(Ruimtestaat[[#This Row],[Code]],Locaties[#All],5,FALSE)</f>
        <v>1185 TB</v>
      </c>
      <c r="E262" s="27" t="str">
        <f>VLOOKUP(Ruimtestaat[[#This Row],[Code]],Locaties[#All],6,FALSE)</f>
        <v>Amstelveen</v>
      </c>
      <c r="F262" s="74" t="s">
        <v>365</v>
      </c>
      <c r="G262" s="27" t="s">
        <v>366</v>
      </c>
      <c r="H262" s="27">
        <v>3</v>
      </c>
      <c r="I262" s="24" t="s">
        <v>368</v>
      </c>
      <c r="J262" s="27">
        <v>16</v>
      </c>
      <c r="K262" s="74" t="str">
        <f>VLOOKUP(J262,Ruimtegroepen[],2,FALSE)</f>
        <v>Leslokalen theorie</v>
      </c>
      <c r="L262" s="27" t="s">
        <v>114</v>
      </c>
      <c r="M262" s="27" t="s">
        <v>139</v>
      </c>
      <c r="N262" s="119">
        <v>52</v>
      </c>
      <c r="O262" s="119"/>
      <c r="P262" s="120" t="str">
        <f>LEFT(VLOOKUP(Ruimtestaat[[#This Row],[Ruimte code]],Ruimtegroepen[#All],4,1),2)</f>
        <v xml:space="preserve">L </v>
      </c>
      <c r="Q262" s="120"/>
      <c r="R262" s="108">
        <v>40</v>
      </c>
      <c r="S262" s="109" t="s">
        <v>18</v>
      </c>
      <c r="T262" s="110">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62" s="110">
        <f>IF(T262&gt;0,VLOOKUP($J262,Ruimtegroepen[],3,FALSE)*VLOOKUP($L262,Vloersoorten[],3,FALSE)*VLOOKUP($S262,Frequenties[],3,FALSE)*VLOOKUP($A262,Locaties[],3,FALSE),0)</f>
        <v>0</v>
      </c>
      <c r="V262" s="111">
        <f>Ruimtestaat[[#This Row],[Uitvoeringen werkdagen]]*Ruimtestaat[[#This Row],[Oppervlak (netto)]]</f>
        <v>6240</v>
      </c>
      <c r="W262" s="112">
        <f>IF(U262&gt;0,Ruimtestaat[[#This Row],[Prest. (m2 /jaar) werkdagen]]/Ruimtestaat[[#This Row],[Norm (m2/uur) werkdagen]],0)</f>
        <v>0</v>
      </c>
      <c r="X262" s="113">
        <f>Ruimtestaat[[#This Row],[uren / jaar werkdagen]]*Tariefsopbouw!$E$35</f>
        <v>0</v>
      </c>
      <c r="Y262" s="110"/>
      <c r="Z262" s="114">
        <f>IF(Ruimtestaat[[#This Row],[Frequentie weekend]]&gt;0,VALUE(LEFT(Y262,1))*R262,0)</f>
        <v>0</v>
      </c>
      <c r="AA262" s="110">
        <f>IF($Z262&gt;0,VLOOKUP($J262,Ruimtegroepen[],3,FALSE)*VLOOKUP($L262,Vloersoorten[],3,FALSE)*VLOOKUP($Y262,Frequenties[],3,FALSE)*VLOOKUP($A258,Locaties[],3,FALSE),0)</f>
        <v>0</v>
      </c>
      <c r="AB262" s="112">
        <f>Ruimtestaat[[#This Row],[Uitvoeringen weekend]]*Ruimtestaat[[#This Row],[Oppervlak (netto)]]</f>
        <v>0</v>
      </c>
      <c r="AC262" s="115">
        <f>IF(AB262&gt;0,Ruimtestaat[[#This Row],[Prest. (m2 /jaar) weekend]]/Ruimtestaat[[#This Row],[Norm (m2/uur) weekend]],0)</f>
        <v>0</v>
      </c>
      <c r="AD262" s="116">
        <f>Ruimtestaat[[#This Row],[uren / jaar weekend]]*Tariefsopbouw!$D$40</f>
        <v>0</v>
      </c>
      <c r="AE262" s="82">
        <f>Ruimtestaat[[#This Row],[Prest. (m2 /jaar) weekend]]+Ruimtestaat[[#This Row],[Prest. (m2 /jaar) werkdagen]]</f>
        <v>6240</v>
      </c>
      <c r="AF262" s="82">
        <f>Ruimtestaat[[#This Row],[uren / jaar weekend]]+Ruimtestaat[[#This Row],[uren / jaar werkdagen]]</f>
        <v>0</v>
      </c>
      <c r="AG262" s="83">
        <f>Ruimtestaat[[#This Row],[kosten / jaar weekend]]+Ruimtestaat[[#This Row],[kosten / jaar werkdagen]]</f>
        <v>0</v>
      </c>
      <c r="HL262" s="87"/>
    </row>
    <row r="263" spans="1:220" ht="15" customHeight="1">
      <c r="A263" s="136">
        <v>1</v>
      </c>
      <c r="B263" s="27" t="str">
        <f>VLOOKUP(Ruimtestaat[[#This Row],[Code]],Locaties[#All],2,FALSE)</f>
        <v>Amstelveen College</v>
      </c>
      <c r="C263" s="27" t="str">
        <f>VLOOKUP(Ruimtestaat[[#This Row],[Code]],Locaties[#All],4,FALSE)</f>
        <v>Sportlaan 27</v>
      </c>
      <c r="D263" s="27" t="str">
        <f>VLOOKUP(Ruimtestaat[[#This Row],[Code]],Locaties[#All],5,FALSE)</f>
        <v>1185 TB</v>
      </c>
      <c r="E263" s="27" t="str">
        <f>VLOOKUP(Ruimtestaat[[#This Row],[Code]],Locaties[#All],6,FALSE)</f>
        <v>Amstelveen</v>
      </c>
      <c r="F263" s="74" t="s">
        <v>365</v>
      </c>
      <c r="G263" s="27" t="s">
        <v>366</v>
      </c>
      <c r="H263" s="27">
        <v>4</v>
      </c>
      <c r="I263" s="24" t="s">
        <v>367</v>
      </c>
      <c r="J263" s="27">
        <v>20</v>
      </c>
      <c r="K263" s="74" t="str">
        <f>VLOOKUP(J263,Ruimtegroepen[],2,FALSE)</f>
        <v>Niet in onderhoud</v>
      </c>
      <c r="L263" s="27" t="s">
        <v>114</v>
      </c>
      <c r="M263" s="27" t="s">
        <v>139</v>
      </c>
      <c r="O263" s="119">
        <v>6</v>
      </c>
      <c r="P263" s="120" t="str">
        <f>LEFT(VLOOKUP(Ruimtestaat[[#This Row],[Ruimte code]],Ruimtegroepen[#All],4,1),2)</f>
        <v/>
      </c>
      <c r="Q263" s="120"/>
      <c r="R263" s="108">
        <v>0</v>
      </c>
      <c r="S263" s="109"/>
      <c r="T263" s="110">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3" s="110">
        <f>IF(T263&gt;0,VLOOKUP($J263,Ruimtegroepen[],3,FALSE)*VLOOKUP($L263,Vloersoorten[],3,FALSE)*VLOOKUP($S263,Frequenties[],3,FALSE)*VLOOKUP($A263,Locaties[],3,FALSE),0)</f>
        <v>0</v>
      </c>
      <c r="V263" s="111">
        <f>Ruimtestaat[[#This Row],[Uitvoeringen werkdagen]]*Ruimtestaat[[#This Row],[Oppervlak (netto)]]</f>
        <v>0</v>
      </c>
      <c r="W263" s="112">
        <f>IF(U263&gt;0,Ruimtestaat[[#This Row],[Prest. (m2 /jaar) werkdagen]]/Ruimtestaat[[#This Row],[Norm (m2/uur) werkdagen]],0)</f>
        <v>0</v>
      </c>
      <c r="X263" s="113">
        <f>Ruimtestaat[[#This Row],[uren / jaar werkdagen]]*Tariefsopbouw!$E$35</f>
        <v>0</v>
      </c>
      <c r="Y263" s="110"/>
      <c r="Z263" s="114">
        <f>IF(Ruimtestaat[[#This Row],[Frequentie weekend]]&gt;0,VALUE(LEFT(Y263,1))*R263,0)</f>
        <v>0</v>
      </c>
      <c r="AA263" s="110">
        <f>IF($Z263&gt;0,VLOOKUP($J263,Ruimtegroepen[],3,FALSE)*VLOOKUP($L263,Vloersoorten[],3,FALSE)*VLOOKUP($Y263,Frequenties[],3,FALSE)*VLOOKUP($A259,Locaties[],3,FALSE),0)</f>
        <v>0</v>
      </c>
      <c r="AB263" s="112">
        <f>Ruimtestaat[[#This Row],[Uitvoeringen weekend]]*Ruimtestaat[[#This Row],[Oppervlak (netto)]]</f>
        <v>0</v>
      </c>
      <c r="AC263" s="115">
        <f>IF(AB263&gt;0,Ruimtestaat[[#This Row],[Prest. (m2 /jaar) weekend]]/Ruimtestaat[[#This Row],[Norm (m2/uur) weekend]],0)</f>
        <v>0</v>
      </c>
      <c r="AD263" s="116">
        <f>Ruimtestaat[[#This Row],[uren / jaar weekend]]*Tariefsopbouw!$D$40</f>
        <v>0</v>
      </c>
      <c r="AE263" s="82">
        <f>Ruimtestaat[[#This Row],[Prest. (m2 /jaar) weekend]]+Ruimtestaat[[#This Row],[Prest. (m2 /jaar) werkdagen]]</f>
        <v>0</v>
      </c>
      <c r="AF263" s="82">
        <f>Ruimtestaat[[#This Row],[uren / jaar weekend]]+Ruimtestaat[[#This Row],[uren / jaar werkdagen]]</f>
        <v>0</v>
      </c>
      <c r="AG263" s="83">
        <f>Ruimtestaat[[#This Row],[kosten / jaar weekend]]+Ruimtestaat[[#This Row],[kosten / jaar werkdagen]]</f>
        <v>0</v>
      </c>
      <c r="HL263" s="87"/>
    </row>
  </sheetData>
  <sortState xmlns:xlrd2="http://schemas.microsoft.com/office/spreadsheetml/2017/richdata2" ref="B7:T1144">
    <sortCondition ref="B7:B1144"/>
    <sortCondition ref="F7:F1144"/>
  </sortState>
  <mergeCells count="5">
    <mergeCell ref="A1:Q1"/>
    <mergeCell ref="R1:AG1"/>
    <mergeCell ref="S3:X3"/>
    <mergeCell ref="Y3:AD3"/>
    <mergeCell ref="AE3:AG3"/>
  </mergeCells>
  <phoneticPr fontId="7" type="noConversion"/>
  <pageMargins left="0.23622047244094491" right="0.23622047244094491" top="0.74803149606299213" bottom="0.74803149606299213" header="0.31496062992125984" footer="0.31496062992125984"/>
  <pageSetup paperSize="8" scale="34" fitToHeight="0" orientation="landscape" r:id="rId1"/>
  <headerFooter alignWithMargins="0">
    <oddFooter>&amp;L&amp;P&amp;Cparaaf Inschrijver&amp;R&amp;D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pageSetUpPr fitToPage="1"/>
  </sheetPr>
  <dimension ref="A1:I26"/>
  <sheetViews>
    <sheetView showGridLines="0" zoomScaleNormal="100" zoomScaleSheetLayoutView="100" workbookViewId="0">
      <selection activeCell="E14" sqref="E14"/>
    </sheetView>
  </sheetViews>
  <sheetFormatPr defaultColWidth="9.140625" defaultRowHeight="15" customHeight="1"/>
  <cols>
    <col min="1" max="1" width="9.7109375" style="4" customWidth="1"/>
    <col min="2" max="2" width="56.28515625" style="4" customWidth="1"/>
    <col min="3" max="3" width="14.85546875" style="33" customWidth="1"/>
    <col min="4" max="4" width="66.85546875" style="4" customWidth="1"/>
    <col min="5" max="5" width="17.7109375" style="4" bestFit="1" customWidth="1"/>
    <col min="6" max="6" width="17.7109375" style="187" bestFit="1" customWidth="1"/>
    <col min="7" max="7" width="17.7109375" style="4" bestFit="1" customWidth="1"/>
    <col min="8" max="8" width="20.5703125" style="4" customWidth="1"/>
    <col min="9" max="9" width="17.7109375" style="4" bestFit="1" customWidth="1"/>
    <col min="10" max="16384" width="9.140625" style="4"/>
  </cols>
  <sheetData>
    <row r="1" spans="1:9" s="7" customFormat="1" ht="26.25" customHeight="1">
      <c r="A1" s="314" t="s">
        <v>169</v>
      </c>
      <c r="B1" s="314"/>
      <c r="C1" s="314"/>
      <c r="D1" s="314"/>
      <c r="E1" s="314"/>
      <c r="F1" s="314"/>
      <c r="G1" s="314"/>
      <c r="H1" s="314"/>
    </row>
    <row r="2" spans="1:9" s="7" customFormat="1" ht="15" customHeight="1">
      <c r="A2" s="324" t="s">
        <v>224</v>
      </c>
      <c r="B2" s="303"/>
      <c r="C2" s="303"/>
      <c r="D2" s="303"/>
      <c r="E2" s="303"/>
      <c r="F2" s="303"/>
      <c r="G2" s="303"/>
      <c r="H2" s="303"/>
    </row>
    <row r="3" spans="1:9" ht="15" customHeight="1">
      <c r="B3" s="33"/>
      <c r="C3" s="4"/>
    </row>
    <row r="4" spans="1:9" ht="15" customHeight="1">
      <c r="A4" s="4" t="s">
        <v>381</v>
      </c>
      <c r="B4" s="28"/>
      <c r="C4" s="28"/>
      <c r="D4" s="28"/>
      <c r="E4" s="28"/>
      <c r="F4" s="188"/>
      <c r="G4" s="29"/>
    </row>
    <row r="5" spans="1:9" ht="15" customHeight="1">
      <c r="A5" s="4" t="s">
        <v>259</v>
      </c>
      <c r="B5" s="28"/>
      <c r="C5" s="28"/>
      <c r="D5" s="28"/>
      <c r="E5" s="28"/>
      <c r="F5" s="188"/>
      <c r="G5" s="29"/>
    </row>
    <row r="6" spans="1:9" ht="15" customHeight="1">
      <c r="A6" s="4" t="s">
        <v>251</v>
      </c>
      <c r="B6" s="35"/>
      <c r="C6" s="36"/>
      <c r="D6" s="36"/>
      <c r="E6" s="36"/>
      <c r="F6" s="189"/>
    </row>
    <row r="7" spans="1:9" ht="15" customHeight="1">
      <c r="A7" s="24"/>
      <c r="B7" s="35"/>
      <c r="C7" s="35"/>
      <c r="D7" s="26"/>
      <c r="E7" s="26"/>
      <c r="F7" s="190"/>
      <c r="G7" s="36"/>
    </row>
    <row r="8" spans="1:9" s="31" customFormat="1" ht="26.25" customHeight="1">
      <c r="A8" s="54" t="s">
        <v>222</v>
      </c>
      <c r="B8" s="55" t="s">
        <v>156</v>
      </c>
      <c r="C8" s="56" t="s">
        <v>155</v>
      </c>
      <c r="D8" s="54" t="s">
        <v>722</v>
      </c>
      <c r="E8" s="248" t="s">
        <v>300</v>
      </c>
      <c r="F8" s="248" t="s">
        <v>302</v>
      </c>
      <c r="G8" s="248" t="s">
        <v>301</v>
      </c>
      <c r="H8" s="248" t="s">
        <v>299</v>
      </c>
      <c r="I8" s="248" t="s">
        <v>579</v>
      </c>
    </row>
    <row r="9" spans="1:9" ht="15" customHeight="1">
      <c r="A9" s="57">
        <v>1</v>
      </c>
      <c r="B9" s="58" t="s">
        <v>163</v>
      </c>
      <c r="C9" s="59">
        <v>0</v>
      </c>
      <c r="D9" s="62" t="s">
        <v>157</v>
      </c>
      <c r="E9" s="249" t="e">
        <f>InvulVloer[[#This Row],[Prijs]]*Tariefsopbouw!$I$37+InvulVloer[[#This Row],[Prijs]]</f>
        <v>#DIV/0!</v>
      </c>
      <c r="F9" s="250" t="e">
        <f>InvulVloer[[#This Row],[2024]]*Tariefsopbouw!$K$37+InvulVloer[[#This Row],[2024]]</f>
        <v>#DIV/0!</v>
      </c>
      <c r="G9" s="250" t="e">
        <f>InvulVloer[[#This Row],[2025]]*Tariefsopbouw!$M$37+InvulVloer[[#This Row],[2025]]</f>
        <v>#DIV/0!</v>
      </c>
      <c r="H9" s="250" t="e">
        <f>InvulVloer[[#This Row],[2026]]*Tariefsopbouw!$O$37+InvulVloer[[#This Row],[2026]]</f>
        <v>#DIV/0!</v>
      </c>
      <c r="I9" s="250" t="e">
        <f>InvulVloer[[#This Row],[2027]]*Tariefsopbouw!$Q$37+InvulVloer[[#This Row],[2027]]</f>
        <v>#DIV/0!</v>
      </c>
    </row>
    <row r="10" spans="1:9" ht="15" customHeight="1">
      <c r="A10" s="60">
        <v>2</v>
      </c>
      <c r="B10" s="61" t="s">
        <v>164</v>
      </c>
      <c r="C10" s="59">
        <v>0</v>
      </c>
      <c r="D10" s="65" t="s">
        <v>158</v>
      </c>
      <c r="E10" s="249" t="e">
        <f>InvulVloer[[#This Row],[Prijs]]*Tariefsopbouw!$I$37+InvulVloer[[#This Row],[Prijs]]</f>
        <v>#DIV/0!</v>
      </c>
      <c r="F10" s="251" t="e">
        <f>InvulVloer[[#This Row],[2024]]*Tariefsopbouw!$K$37+InvulVloer[[#This Row],[2024]]</f>
        <v>#DIV/0!</v>
      </c>
      <c r="G10" s="251" t="e">
        <f>InvulVloer[[#This Row],[2025]]*Tariefsopbouw!$M$37+InvulVloer[[#This Row],[2025]]</f>
        <v>#DIV/0!</v>
      </c>
      <c r="H10" s="251" t="e">
        <f>InvulVloer[[#This Row],[2026]]*Tariefsopbouw!$O$37+InvulVloer[[#This Row],[2026]]</f>
        <v>#DIV/0!</v>
      </c>
      <c r="I10" s="251" t="e">
        <f>InvulVloer[[#This Row],[2027]]*Tariefsopbouw!$Q$37+InvulVloer[[#This Row],[2027]]</f>
        <v>#DIV/0!</v>
      </c>
    </row>
    <row r="11" spans="1:9" ht="15" customHeight="1">
      <c r="A11" s="57">
        <v>3</v>
      </c>
      <c r="B11" s="58" t="s">
        <v>165</v>
      </c>
      <c r="C11" s="59">
        <v>0</v>
      </c>
      <c r="D11" s="62" t="s">
        <v>158</v>
      </c>
      <c r="E11" s="249" t="e">
        <f>InvulVloer[[#This Row],[Prijs]]*Tariefsopbouw!$I$37+InvulVloer[[#This Row],[Prijs]]</f>
        <v>#DIV/0!</v>
      </c>
      <c r="F11" s="252" t="e">
        <f>InvulVloer[[#This Row],[2024]]*Tariefsopbouw!$K$37+InvulVloer[[#This Row],[2024]]</f>
        <v>#DIV/0!</v>
      </c>
      <c r="G11" s="252" t="e">
        <f>InvulVloer[[#This Row],[2025]]*Tariefsopbouw!$M$37+InvulVloer[[#This Row],[2025]]</f>
        <v>#DIV/0!</v>
      </c>
      <c r="H11" s="252" t="e">
        <f>InvulVloer[[#This Row],[2026]]*Tariefsopbouw!$O$37+InvulVloer[[#This Row],[2026]]</f>
        <v>#DIV/0!</v>
      </c>
      <c r="I11" s="252" t="e">
        <f>InvulVloer[[#This Row],[2027]]*Tariefsopbouw!$Q$37+InvulVloer[[#This Row],[2027]]</f>
        <v>#DIV/0!</v>
      </c>
    </row>
    <row r="12" spans="1:9" ht="15" customHeight="1">
      <c r="A12" s="60">
        <v>4</v>
      </c>
      <c r="B12" s="61" t="s">
        <v>159</v>
      </c>
      <c r="C12" s="59">
        <v>0</v>
      </c>
      <c r="D12" s="65" t="s">
        <v>157</v>
      </c>
      <c r="E12" s="249" t="e">
        <f>InvulVloer[[#This Row],[Prijs]]*Tariefsopbouw!$I$37+InvulVloer[[#This Row],[Prijs]]</f>
        <v>#DIV/0!</v>
      </c>
      <c r="F12" s="251" t="e">
        <f>InvulVloer[[#This Row],[2024]]*Tariefsopbouw!$K$37+InvulVloer[[#This Row],[2024]]</f>
        <v>#DIV/0!</v>
      </c>
      <c r="G12" s="251" t="e">
        <f>InvulVloer[[#This Row],[2025]]*Tariefsopbouw!$M$37+InvulVloer[[#This Row],[2025]]</f>
        <v>#DIV/0!</v>
      </c>
      <c r="H12" s="251" t="e">
        <f>InvulVloer[[#This Row],[2026]]*Tariefsopbouw!$O$37+InvulVloer[[#This Row],[2026]]</f>
        <v>#DIV/0!</v>
      </c>
      <c r="I12" s="251" t="e">
        <f>InvulVloer[[#This Row],[2027]]*Tariefsopbouw!$Q$37+InvulVloer[[#This Row],[2027]]</f>
        <v>#DIV/0!</v>
      </c>
    </row>
    <row r="13" spans="1:9" ht="15" customHeight="1">
      <c r="A13" s="57">
        <v>5</v>
      </c>
      <c r="B13" s="58" t="s">
        <v>160</v>
      </c>
      <c r="C13" s="59">
        <v>0</v>
      </c>
      <c r="D13" s="62" t="s">
        <v>157</v>
      </c>
      <c r="E13" s="249" t="e">
        <f>InvulVloer[[#This Row],[Prijs]]*Tariefsopbouw!$I$37+InvulVloer[[#This Row],[Prijs]]</f>
        <v>#DIV/0!</v>
      </c>
      <c r="F13" s="252" t="e">
        <f>InvulVloer[[#This Row],[2024]]*Tariefsopbouw!$K$37+InvulVloer[[#This Row],[2024]]</f>
        <v>#DIV/0!</v>
      </c>
      <c r="G13" s="252" t="e">
        <f>InvulVloer[[#This Row],[2025]]*Tariefsopbouw!$M$37+InvulVloer[[#This Row],[2025]]</f>
        <v>#DIV/0!</v>
      </c>
      <c r="H13" s="252" t="e">
        <f>InvulVloer[[#This Row],[2026]]*Tariefsopbouw!$O$37+InvulVloer[[#This Row],[2026]]</f>
        <v>#DIV/0!</v>
      </c>
      <c r="I13" s="252" t="e">
        <f>InvulVloer[[#This Row],[2027]]*Tariefsopbouw!$Q$37+InvulVloer[[#This Row],[2027]]</f>
        <v>#DIV/0!</v>
      </c>
    </row>
    <row r="14" spans="1:9" ht="15" customHeight="1">
      <c r="A14" s="60">
        <v>6</v>
      </c>
      <c r="B14" s="61" t="s">
        <v>166</v>
      </c>
      <c r="C14" s="59">
        <v>0</v>
      </c>
      <c r="D14" s="65" t="s">
        <v>157</v>
      </c>
      <c r="E14" s="249" t="e">
        <f>InvulVloer[[#This Row],[Prijs]]*Tariefsopbouw!$I$37+InvulVloer[[#This Row],[Prijs]]</f>
        <v>#DIV/0!</v>
      </c>
      <c r="F14" s="251" t="e">
        <f>InvulVloer[[#This Row],[2024]]*Tariefsopbouw!$K$37+InvulVloer[[#This Row],[2024]]</f>
        <v>#DIV/0!</v>
      </c>
      <c r="G14" s="251" t="e">
        <f>InvulVloer[[#This Row],[2025]]*Tariefsopbouw!$M$37+InvulVloer[[#This Row],[2025]]</f>
        <v>#DIV/0!</v>
      </c>
      <c r="H14" s="251" t="e">
        <f>InvulVloer[[#This Row],[2026]]*Tariefsopbouw!$O$37+InvulVloer[[#This Row],[2026]]</f>
        <v>#DIV/0!</v>
      </c>
      <c r="I14" s="251" t="e">
        <f>InvulVloer[[#This Row],[2027]]*Tariefsopbouw!$Q$37+InvulVloer[[#This Row],[2027]]</f>
        <v>#DIV/0!</v>
      </c>
    </row>
    <row r="15" spans="1:9" ht="15" customHeight="1">
      <c r="A15" s="57">
        <v>7</v>
      </c>
      <c r="B15" s="62" t="s">
        <v>168</v>
      </c>
      <c r="C15" s="59">
        <v>0</v>
      </c>
      <c r="D15" s="62" t="s">
        <v>157</v>
      </c>
      <c r="E15" s="249" t="e">
        <f>InvulVloer[[#This Row],[Prijs]]*Tariefsopbouw!$I$37+InvulVloer[[#This Row],[Prijs]]</f>
        <v>#DIV/0!</v>
      </c>
      <c r="F15" s="252" t="e">
        <f>InvulVloer[[#This Row],[2024]]*Tariefsopbouw!$K$37+InvulVloer[[#This Row],[2024]]</f>
        <v>#DIV/0!</v>
      </c>
      <c r="G15" s="252" t="e">
        <f>InvulVloer[[#This Row],[2025]]*Tariefsopbouw!$M$37+InvulVloer[[#This Row],[2025]]</f>
        <v>#DIV/0!</v>
      </c>
      <c r="H15" s="252" t="e">
        <f>InvulVloer[[#This Row],[2026]]*Tariefsopbouw!$O$37+InvulVloer[[#This Row],[2026]]</f>
        <v>#DIV/0!</v>
      </c>
      <c r="I15" s="252" t="e">
        <f>InvulVloer[[#This Row],[2027]]*Tariefsopbouw!$Q$37+InvulVloer[[#This Row],[2027]]</f>
        <v>#DIV/0!</v>
      </c>
    </row>
    <row r="16" spans="1:9" ht="15" customHeight="1">
      <c r="A16" s="60">
        <v>8</v>
      </c>
      <c r="B16" s="63" t="s">
        <v>204</v>
      </c>
      <c r="C16" s="59">
        <v>0</v>
      </c>
      <c r="D16" s="65" t="s">
        <v>157</v>
      </c>
      <c r="E16" s="249" t="e">
        <f>InvulVloer[[#This Row],[Prijs]]*Tariefsopbouw!$I$37+InvulVloer[[#This Row],[Prijs]]</f>
        <v>#DIV/0!</v>
      </c>
      <c r="F16" s="251" t="e">
        <f>InvulVloer[[#This Row],[2024]]*Tariefsopbouw!$K$37+InvulVloer[[#This Row],[2024]]</f>
        <v>#DIV/0!</v>
      </c>
      <c r="G16" s="251" t="e">
        <f>InvulVloer[[#This Row],[2025]]*Tariefsopbouw!$M$37+InvulVloer[[#This Row],[2025]]</f>
        <v>#DIV/0!</v>
      </c>
      <c r="H16" s="251" t="e">
        <f>InvulVloer[[#This Row],[2026]]*Tariefsopbouw!$O$37+InvulVloer[[#This Row],[2026]]</f>
        <v>#DIV/0!</v>
      </c>
      <c r="I16" s="251" t="e">
        <f>InvulVloer[[#This Row],[2027]]*Tariefsopbouw!$Q$37+InvulVloer[[#This Row],[2027]]</f>
        <v>#DIV/0!</v>
      </c>
    </row>
    <row r="17" spans="1:9" ht="15" customHeight="1">
      <c r="A17" s="57">
        <v>9</v>
      </c>
      <c r="B17" s="64" t="s">
        <v>205</v>
      </c>
      <c r="C17" s="59">
        <v>0</v>
      </c>
      <c r="D17" s="62" t="s">
        <v>157</v>
      </c>
      <c r="E17" s="253" t="e">
        <f>InvulVloer[[#This Row],[Prijs]]*Tariefsopbouw!$I$37+InvulVloer[[#This Row],[Prijs]]</f>
        <v>#DIV/0!</v>
      </c>
      <c r="F17" s="254" t="e">
        <f>InvulVloer[[#This Row],[2024]]*Tariefsopbouw!$K$37+InvulVloer[[#This Row],[2024]]</f>
        <v>#DIV/0!</v>
      </c>
      <c r="G17" s="253" t="e">
        <f>InvulVloer[[#This Row],[2025]]*Tariefsopbouw!$M$37+InvulVloer[[#This Row],[2025]]</f>
        <v>#DIV/0!</v>
      </c>
      <c r="H17" s="253" t="e">
        <f>InvulVloer[[#This Row],[2026]]*Tariefsopbouw!$O$37+InvulVloer[[#This Row],[2026]]</f>
        <v>#DIV/0!</v>
      </c>
      <c r="I17" s="253" t="e">
        <f>InvulVloer[[#This Row],[2027]]*Tariefsopbouw!$Q$37+InvulVloer[[#This Row],[2027]]</f>
        <v>#DIV/0!</v>
      </c>
    </row>
    <row r="18" spans="1:9" ht="15" customHeight="1">
      <c r="B18" s="27"/>
      <c r="C18" s="27"/>
      <c r="D18" s="24"/>
      <c r="E18" s="38"/>
      <c r="F18" s="190"/>
      <c r="G18" s="38"/>
      <c r="H18" s="38"/>
    </row>
    <row r="19" spans="1:9" ht="15" customHeight="1">
      <c r="B19" s="25"/>
      <c r="C19" s="30"/>
      <c r="D19" s="30"/>
    </row>
    <row r="20" spans="1:9" s="32" customFormat="1" ht="26.25" customHeight="1">
      <c r="A20" s="54" t="s">
        <v>221</v>
      </c>
      <c r="B20" s="55" t="s">
        <v>152</v>
      </c>
      <c r="C20" s="54" t="s">
        <v>222</v>
      </c>
      <c r="D20" s="66" t="s">
        <v>156</v>
      </c>
      <c r="E20" s="66" t="s">
        <v>161</v>
      </c>
      <c r="F20" s="191" t="s">
        <v>162</v>
      </c>
      <c r="G20" s="66" t="s">
        <v>167</v>
      </c>
      <c r="H20" s="67" t="s">
        <v>153</v>
      </c>
    </row>
    <row r="21" spans="1:9" ht="15" customHeight="1">
      <c r="A21" s="255">
        <v>1</v>
      </c>
      <c r="B21" s="185" t="str">
        <f>VLOOKUP(OverzichtVloer[[#This Row],[Code Locatie]],Locaties[],2,0)</f>
        <v>Amstelveen College</v>
      </c>
      <c r="C21" s="255">
        <v>4</v>
      </c>
      <c r="D21" s="256" t="str">
        <f>IF(Vloeronderhoud!$C21&gt;0,VLOOKUP(Vloeronderhoud!$C21,$A$8:$B$17,2,FALSE),"")</f>
        <v>Tapijtreinigen, sproei-extractiemethode</v>
      </c>
      <c r="E21" s="199" t="s">
        <v>113</v>
      </c>
      <c r="F21" s="193">
        <f>SUMIFS('Ruimtestaat'!$N:$N,'Ruimtestaat'!L:L,Vloeronderhoud!E21,'Ruimtestaat'!A:A,Vloeronderhoud!A21)</f>
        <v>1052.9000000000001</v>
      </c>
      <c r="G21" s="274">
        <v>0.5</v>
      </c>
      <c r="H21" s="257">
        <f>VLOOKUP(OverzichtVloer[[#This Row],[Code Taak]],InvulVloer[],3,3)*F21*G21</f>
        <v>0</v>
      </c>
    </row>
    <row r="22" spans="1:9" ht="15.75" customHeight="1">
      <c r="A22" s="255">
        <v>1</v>
      </c>
      <c r="B22" s="185" t="str">
        <f>VLOOKUP(OverzichtVloer[[#This Row],[Code Locatie]],Locaties[],2,0)</f>
        <v>Amstelveen College</v>
      </c>
      <c r="C22" s="255">
        <v>1</v>
      </c>
      <c r="D22" s="256" t="str">
        <f>IF(Vloeronderhoud!$C22&gt;0,VLOOKUP(Vloeronderhoud!$C22,$A$8:$B$17,2,FALSE),"")</f>
        <v>Sprayen/opblokken</v>
      </c>
      <c r="E22" s="199" t="s">
        <v>114</v>
      </c>
      <c r="F22" s="193">
        <f>SUMIFS('Ruimtestaat'!$N:$N,'Ruimtestaat'!L:L,Vloeronderhoud!E22,'Ruimtestaat'!A:A,Vloeronderhoud!A22)</f>
        <v>7526.6000000000049</v>
      </c>
      <c r="G22" s="274">
        <v>1</v>
      </c>
      <c r="H22" s="257">
        <f>VLOOKUP(OverzichtVloer[[#This Row],[Code Taak]],InvulVloer[],3,3)*F22*G22</f>
        <v>0</v>
      </c>
    </row>
    <row r="23" spans="1:9" ht="15" customHeight="1">
      <c r="A23" s="255">
        <v>1</v>
      </c>
      <c r="B23" s="185" t="str">
        <f>VLOOKUP(OverzichtVloer[[#This Row],[Code Locatie]],Locaties[],2,0)</f>
        <v>Amstelveen College</v>
      </c>
      <c r="C23" s="255">
        <v>2</v>
      </c>
      <c r="D23" s="256" t="str">
        <f>IF(Vloeronderhoud!$C23&gt;0,VLOOKUP(Vloeronderhoud!$C23,$A$8:$B$17,2,FALSE),"")</f>
        <v>Topstrippen en conserveren</v>
      </c>
      <c r="E23" s="199" t="s">
        <v>114</v>
      </c>
      <c r="F23" s="193">
        <f>SUMIFS('Ruimtestaat'!$N:$N,'Ruimtestaat'!L:L,Vloeronderhoud!E23,'Ruimtestaat'!A:A,Vloeronderhoud!A23)</f>
        <v>7526.6000000000049</v>
      </c>
      <c r="G23" s="274">
        <v>1</v>
      </c>
      <c r="H23" s="257">
        <f>VLOOKUP(OverzichtVloer[[#This Row],[Code Taak]],InvulVloer[],3,3)*F23*G23</f>
        <v>0</v>
      </c>
    </row>
    <row r="24" spans="1:9" ht="15" customHeight="1">
      <c r="A24" s="255">
        <v>1</v>
      </c>
      <c r="B24" s="185" t="str">
        <f>VLOOKUP(OverzichtVloer[[#This Row],[Code Locatie]],Locaties[],2,0)</f>
        <v>Amstelveen College</v>
      </c>
      <c r="C24" s="255">
        <v>3</v>
      </c>
      <c r="D24" s="256" t="str">
        <f>IF(Vloeronderhoud!$C24&gt;0,VLOOKUP(Vloeronderhoud!$C24,$A$8:$B$17,2,FALSE),"")</f>
        <v>Diepstrippen, sealen en conserveren</v>
      </c>
      <c r="E24" s="199" t="s">
        <v>114</v>
      </c>
      <c r="F24" s="193">
        <f>SUMIFS('Ruimtestaat'!$N:$N,'Ruimtestaat'!L:L,Vloeronderhoud!E24,'Ruimtestaat'!A:A,Vloeronderhoud!A24)</f>
        <v>7526.6000000000049</v>
      </c>
      <c r="G24" s="199">
        <v>0.25</v>
      </c>
      <c r="H24" s="257">
        <f>VLOOKUP(OverzichtVloer[[#This Row],[Code Taak]],InvulVloer[],3,3)*F24*G24</f>
        <v>0</v>
      </c>
    </row>
    <row r="25" spans="1:9" ht="15" customHeight="1">
      <c r="A25" s="223"/>
      <c r="B25" s="224" t="s">
        <v>33</v>
      </c>
      <c r="C25" s="223"/>
      <c r="D25" s="225"/>
      <c r="E25" s="223"/>
      <c r="F25" s="226"/>
      <c r="G25" s="223"/>
      <c r="H25" s="227">
        <f>SUBTOTAL(109,OverzichtVloer[Kosten/jaar excl. BTW])</f>
        <v>0</v>
      </c>
    </row>
    <row r="26" spans="1:9" ht="15" customHeight="1">
      <c r="A26" s="34"/>
      <c r="B26" s="25"/>
      <c r="C26" s="30"/>
      <c r="D26" s="30"/>
      <c r="E26" s="30"/>
      <c r="F26" s="192"/>
      <c r="G26" s="41"/>
      <c r="H26" s="29"/>
    </row>
  </sheetData>
  <mergeCells count="2">
    <mergeCell ref="A1:H1"/>
    <mergeCell ref="A2:H2"/>
  </mergeCells>
  <pageMargins left="0.70866141732283472" right="0.70866141732283472" top="0.35433070866141736" bottom="0.47244094488188981" header="0.31496062992125984" footer="0.31496062992125984"/>
  <pageSetup paperSize="9" scale="61" fitToHeight="0" orientation="landscape" r:id="rId1"/>
  <headerFooter alignWithMargins="0">
    <oddFooter>&amp;L&amp;F&amp;C&amp;D&amp;R&amp;A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pageSetUpPr fitToPage="1"/>
  </sheetPr>
  <dimension ref="A1:K83"/>
  <sheetViews>
    <sheetView showGridLines="0" topLeftCell="A7" zoomScaleNormal="100" zoomScaleSheetLayoutView="100" workbookViewId="0">
      <selection activeCell="D12" sqref="D12"/>
    </sheetView>
  </sheetViews>
  <sheetFormatPr defaultColWidth="9.140625" defaultRowHeight="15" customHeight="1"/>
  <cols>
    <col min="1" max="1" width="9.42578125" style="4" customWidth="1"/>
    <col min="2" max="2" width="55.42578125" style="4" customWidth="1"/>
    <col min="3" max="3" width="13" style="4" customWidth="1"/>
    <col min="4" max="4" width="70.140625" style="33" customWidth="1"/>
    <col min="5" max="5" width="16.7109375" style="4" customWidth="1"/>
    <col min="6" max="6" width="17.7109375" style="192" bestFit="1" customWidth="1"/>
    <col min="7" max="7" width="20.28515625" style="4" bestFit="1" customWidth="1"/>
    <col min="8" max="8" width="18" style="146" bestFit="1" customWidth="1"/>
    <col min="9" max="10" width="17.7109375" style="4" bestFit="1" customWidth="1"/>
    <col min="11" max="16384" width="9.140625" style="4"/>
  </cols>
  <sheetData>
    <row r="1" spans="1:11" s="7" customFormat="1" ht="22.5" customHeight="1">
      <c r="A1" s="313" t="s">
        <v>181</v>
      </c>
      <c r="B1" s="313"/>
      <c r="C1" s="313"/>
      <c r="D1" s="313"/>
      <c r="E1" s="313"/>
      <c r="F1" s="313"/>
      <c r="G1" s="313"/>
      <c r="H1" s="313"/>
      <c r="I1" s="73"/>
    </row>
    <row r="2" spans="1:11" s="7" customFormat="1" ht="15" customHeight="1">
      <c r="A2" s="325" t="s">
        <v>224</v>
      </c>
      <c r="B2" s="312"/>
      <c r="C2" s="312"/>
      <c r="D2" s="312"/>
      <c r="E2" s="312"/>
      <c r="F2" s="312"/>
      <c r="G2" s="312"/>
      <c r="H2" s="326"/>
    </row>
    <row r="3" spans="1:11" ht="15" customHeight="1">
      <c r="B3" s="33"/>
      <c r="D3" s="4"/>
    </row>
    <row r="4" spans="1:11" ht="15" customHeight="1">
      <c r="A4" s="4" t="s">
        <v>182</v>
      </c>
      <c r="B4" s="33"/>
      <c r="D4" s="4"/>
    </row>
    <row r="5" spans="1:11" ht="15" customHeight="1">
      <c r="A5" s="4" t="s">
        <v>259</v>
      </c>
      <c r="B5" s="33"/>
      <c r="D5" s="4"/>
    </row>
    <row r="6" spans="1:11" ht="15" customHeight="1">
      <c r="A6" s="4" t="s">
        <v>203</v>
      </c>
      <c r="B6" s="33"/>
      <c r="D6" s="4"/>
    </row>
    <row r="7" spans="1:11" ht="15" customHeight="1">
      <c r="A7" s="24"/>
      <c r="B7" s="35"/>
      <c r="C7" s="35"/>
      <c r="D7" s="26"/>
      <c r="E7" s="26"/>
      <c r="F7" s="190"/>
      <c r="G7" s="36"/>
      <c r="H7" s="147"/>
    </row>
    <row r="8" spans="1:11" s="31" customFormat="1" ht="26.25" customHeight="1">
      <c r="A8" s="54" t="s">
        <v>222</v>
      </c>
      <c r="B8" s="55" t="s">
        <v>186</v>
      </c>
      <c r="C8" s="54" t="s">
        <v>154</v>
      </c>
      <c r="D8" s="54" t="s">
        <v>216</v>
      </c>
      <c r="E8" s="56" t="s">
        <v>183</v>
      </c>
      <c r="F8" s="248" t="s">
        <v>300</v>
      </c>
      <c r="G8" s="248" t="s">
        <v>302</v>
      </c>
      <c r="H8" s="248" t="s">
        <v>301</v>
      </c>
      <c r="I8" s="248" t="s">
        <v>299</v>
      </c>
      <c r="J8" s="248" t="s">
        <v>579</v>
      </c>
    </row>
    <row r="9" spans="1:11" ht="15" customHeight="1">
      <c r="A9" s="60">
        <v>1</v>
      </c>
      <c r="B9" s="61" t="s">
        <v>380</v>
      </c>
      <c r="C9" s="185" t="s">
        <v>382</v>
      </c>
      <c r="D9" s="185" t="s">
        <v>725</v>
      </c>
      <c r="E9" s="59">
        <v>0</v>
      </c>
      <c r="F9" s="249" t="e">
        <f>InvulExtra[[#This Row],[Prijs
Excl. BTW]]*Tariefsopbouw!$I$37+InvulExtra[[#This Row],[Prijs
Excl. BTW]]</f>
        <v>#DIV/0!</v>
      </c>
      <c r="G9" s="251" t="e">
        <f>InvulExtra[[#This Row],[2024]]*Tariefsopbouw!$K$37+InvulExtra[[#This Row],[2024]]</f>
        <v>#DIV/0!</v>
      </c>
      <c r="H9" s="251" t="e">
        <f>InvulExtra[[#This Row],[2025]]*Tariefsopbouw!$M$37+InvulExtra[[#This Row],[2025]]</f>
        <v>#DIV/0!</v>
      </c>
      <c r="I9" s="251" t="e">
        <f>InvulExtra[[#This Row],[2026]]*Tariefsopbouw!$O$37+InvulExtra[[#This Row],[2026]]</f>
        <v>#DIV/0!</v>
      </c>
      <c r="J9" s="251" t="e">
        <f>InvulExtra[[#This Row],[2027]]*Tariefsopbouw!$Q$37+InvulExtra[[#This Row],[2027]]</f>
        <v>#DIV/0!</v>
      </c>
    </row>
    <row r="10" spans="1:11" ht="15" customHeight="1">
      <c r="A10" s="57">
        <v>2</v>
      </c>
      <c r="B10" s="62" t="s">
        <v>384</v>
      </c>
      <c r="C10" s="62" t="s">
        <v>383</v>
      </c>
      <c r="D10" s="62" t="s">
        <v>729</v>
      </c>
      <c r="E10" s="59">
        <v>0</v>
      </c>
      <c r="F10" s="249" t="e">
        <f>InvulExtra[[#This Row],[Prijs
Excl. BTW]]*Tariefsopbouw!$I$37+InvulExtra[[#This Row],[Prijs
Excl. BTW]]</f>
        <v>#DIV/0!</v>
      </c>
      <c r="G10" s="252" t="e">
        <f>InvulExtra[[#This Row],[2024]]*Tariefsopbouw!$K$37+InvulExtra[[#This Row],[2024]]</f>
        <v>#DIV/0!</v>
      </c>
      <c r="H10" s="252" t="e">
        <f>InvulExtra[[#This Row],[2025]]*Tariefsopbouw!$M$37+InvulExtra[[#This Row],[2025]]</f>
        <v>#DIV/0!</v>
      </c>
      <c r="I10" s="252" t="e">
        <f>InvulExtra[[#This Row],[2026]]*Tariefsopbouw!$O$37+InvulExtra[[#This Row],[2026]]</f>
        <v>#DIV/0!</v>
      </c>
      <c r="J10" s="252" t="e">
        <f>InvulExtra[[#This Row],[2027]]*Tariefsopbouw!$Q$37+InvulExtra[[#This Row],[2027]]</f>
        <v>#DIV/0!</v>
      </c>
    </row>
    <row r="11" spans="1:11" ht="15" customHeight="1">
      <c r="A11" s="60">
        <v>3</v>
      </c>
      <c r="B11" s="61" t="s">
        <v>387</v>
      </c>
      <c r="C11" s="213" t="s">
        <v>382</v>
      </c>
      <c r="D11" s="213" t="s">
        <v>730</v>
      </c>
      <c r="E11" s="275">
        <f>Tariefsopbouw!E35</f>
        <v>0</v>
      </c>
      <c r="F11" s="249" t="e">
        <f>InvulExtra[[#This Row],[Prijs
Excl. BTW]]*Tariefsopbouw!$I$37+InvulExtra[[#This Row],[Prijs
Excl. BTW]]</f>
        <v>#DIV/0!</v>
      </c>
      <c r="G11" s="251" t="e">
        <f>InvulExtra[[#This Row],[2024]]*Tariefsopbouw!$K$37+InvulExtra[[#This Row],[2024]]</f>
        <v>#DIV/0!</v>
      </c>
      <c r="H11" s="251" t="e">
        <f>InvulExtra[[#This Row],[2025]]*Tariefsopbouw!$M$37+InvulExtra[[#This Row],[2025]]</f>
        <v>#DIV/0!</v>
      </c>
      <c r="I11" s="251" t="e">
        <f>InvulExtra[[#This Row],[2026]]*Tariefsopbouw!$O$37+InvulExtra[[#This Row],[2026]]</f>
        <v>#DIV/0!</v>
      </c>
      <c r="J11" s="251" t="e">
        <f>InvulExtra[[#This Row],[2027]]*Tariefsopbouw!$Q$37+InvulExtra[[#This Row],[2027]]</f>
        <v>#DIV/0!</v>
      </c>
    </row>
    <row r="12" spans="1:11" ht="15" customHeight="1">
      <c r="B12" s="27"/>
      <c r="C12" s="27"/>
      <c r="D12" s="24"/>
      <c r="E12" s="38"/>
      <c r="F12" s="190"/>
      <c r="G12" s="37"/>
      <c r="H12" s="148"/>
      <c r="I12" s="38"/>
    </row>
    <row r="13" spans="1:11" ht="15" customHeight="1">
      <c r="B13" s="25"/>
      <c r="C13" s="30"/>
      <c r="D13" s="30"/>
      <c r="K13" s="39"/>
    </row>
    <row r="14" spans="1:11" s="32" customFormat="1" ht="26.25" customHeight="1">
      <c r="A14" s="151" t="s">
        <v>221</v>
      </c>
      <c r="B14" s="54" t="s">
        <v>152</v>
      </c>
      <c r="C14" s="54" t="s">
        <v>222</v>
      </c>
      <c r="D14" s="66" t="s">
        <v>186</v>
      </c>
      <c r="E14" s="66" t="s">
        <v>154</v>
      </c>
      <c r="F14" s="191" t="s">
        <v>217</v>
      </c>
      <c r="G14" s="66" t="s">
        <v>255</v>
      </c>
      <c r="H14" s="149" t="s">
        <v>153</v>
      </c>
      <c r="K14" s="40"/>
    </row>
    <row r="15" spans="1:11" ht="15" customHeight="1">
      <c r="A15" s="255">
        <v>1</v>
      </c>
      <c r="B15" s="185" t="str">
        <f>VLOOKUP(OverzichtExtra[[#This Row],[Code Locatie]],Locaties[],2,0)</f>
        <v>Amstelveen College</v>
      </c>
      <c r="C15" s="255">
        <v>1</v>
      </c>
      <c r="D15" s="278" t="str">
        <f>IF('Extra werkzaamheden'!$C15&gt;0,VLOOKUP('Extra werkzaamheden'!$C15,$A$8:$B$11,2,0),"")</f>
        <v>Hoofdentree hogedrukreinigen (betonnen trap)</v>
      </c>
      <c r="E15" s="199" t="str">
        <f>VLOOKUP(OverzichtExtra[[#This Row],[Code Taak]],InvulExtra[#All],3,0)</f>
        <v>Per uitv.</v>
      </c>
      <c r="F15" s="193">
        <v>1</v>
      </c>
      <c r="G15" s="186">
        <v>6</v>
      </c>
      <c r="H15" s="257">
        <f>IF(G15&gt;0,VLOOKUP(OverzichtExtra[[#This Row],[Code Taak]],InvulExtra[],5,2)*F15*G15,0)</f>
        <v>0</v>
      </c>
      <c r="K15" s="39"/>
    </row>
    <row r="16" spans="1:11" ht="15" customHeight="1">
      <c r="A16" s="255">
        <v>1</v>
      </c>
      <c r="B16" s="185" t="str">
        <f>VLOOKUP(OverzichtExtra[[#This Row],[Code Locatie]],Locaties[],2,0)</f>
        <v>Amstelveen College</v>
      </c>
      <c r="C16" s="255">
        <v>2</v>
      </c>
      <c r="D16" s="278" t="str">
        <f>IF('Extra werkzaamheden'!$C16&gt;0,VLOOKUP('Extra werkzaamheden'!$C16,$A$8:$B$11,2,0),"")</f>
        <v>Alle buitenentrees (betonnen trappen) wekelijks vegen</v>
      </c>
      <c r="E16" s="199" t="str">
        <f>VLOOKUP(OverzichtExtra[[#This Row],[Code Taak]],InvulExtra[#All],3,0)</f>
        <v>Per stuk/uitv.</v>
      </c>
      <c r="F16" s="193">
        <v>6</v>
      </c>
      <c r="G16" s="186">
        <v>42</v>
      </c>
      <c r="H16" s="257">
        <f>IF(G16&gt;0,VLOOKUP(OverzichtExtra[[#This Row],[Code Taak]],InvulExtra[],5,2)*F16*G16,0)</f>
        <v>0</v>
      </c>
      <c r="K16" s="39"/>
    </row>
    <row r="17" spans="1:11" s="25" customFormat="1" ht="15" customHeight="1">
      <c r="A17" s="276">
        <v>1</v>
      </c>
      <c r="B17" s="277" t="str">
        <f>VLOOKUP(OverzichtExtra[[#This Row],[Code Locatie]],Locaties[],2,0)</f>
        <v>Amstelveen College</v>
      </c>
      <c r="C17" s="276">
        <v>3</v>
      </c>
      <c r="D17" s="278" t="str">
        <f>IF('Extra werkzaamheden'!$C17&gt;0,VLOOKUP('Extra werkzaamheden'!$C17,$A$8:$B$11,2,0),"")</f>
        <v>Schoonmaakonderhoud kleedkamers korfbalvereniging</v>
      </c>
      <c r="E17" s="199" t="str">
        <f>VLOOKUP(OverzichtExtra[[#This Row],[Code Taak]],InvulExtra[#All],3,0)</f>
        <v>Per uitv.</v>
      </c>
      <c r="F17" s="279">
        <v>1</v>
      </c>
      <c r="G17" s="280">
        <v>66</v>
      </c>
      <c r="H17" s="281">
        <f>IF(G17&gt;0,VLOOKUP(OverzichtExtra[[#This Row],[Code Taak]],InvulExtra[],5,2)*F17*G17,0)</f>
        <v>0</v>
      </c>
      <c r="K17" s="282"/>
    </row>
    <row r="18" spans="1:11" ht="15" customHeight="1">
      <c r="A18" s="208"/>
      <c r="B18" s="209" t="s">
        <v>33</v>
      </c>
      <c r="C18" s="208"/>
      <c r="D18" s="210"/>
      <c r="E18" s="208"/>
      <c r="F18" s="211"/>
      <c r="G18" s="208"/>
      <c r="H18" s="212">
        <f>SUBTOTAL(109,OverzichtExtra[Kosten/jaar excl. BTW])</f>
        <v>0</v>
      </c>
    </row>
    <row r="19" spans="1:11" ht="15" customHeight="1">
      <c r="A19" s="201"/>
      <c r="B19" s="202"/>
      <c r="C19" s="203"/>
      <c r="D19" s="203"/>
      <c r="E19" s="204"/>
      <c r="F19" s="205"/>
      <c r="G19" s="206"/>
      <c r="H19" s="150"/>
    </row>
    <row r="20" spans="1:11" ht="15" customHeight="1">
      <c r="A20" s="207" t="s">
        <v>724</v>
      </c>
      <c r="B20" s="4" t="s">
        <v>385</v>
      </c>
      <c r="C20" s="200" t="s">
        <v>386</v>
      </c>
      <c r="D20" s="4"/>
    </row>
    <row r="21" spans="1:11" ht="31.5" customHeight="1">
      <c r="A21" s="33" t="s">
        <v>726</v>
      </c>
      <c r="B21" s="4" t="s">
        <v>727</v>
      </c>
      <c r="C21" s="327" t="s">
        <v>728</v>
      </c>
      <c r="D21" s="327"/>
      <c r="E21" s="327"/>
      <c r="F21" s="327"/>
      <c r="G21" s="327"/>
      <c r="H21" s="327"/>
    </row>
    <row r="22" spans="1:11" ht="15" customHeight="1">
      <c r="C22" s="33"/>
      <c r="D22" s="4"/>
    </row>
    <row r="23" spans="1:11" ht="15" customHeight="1">
      <c r="C23" s="33"/>
      <c r="D23" s="4"/>
    </row>
    <row r="24" spans="1:11" ht="15" customHeight="1">
      <c r="C24" s="33"/>
      <c r="D24" s="4"/>
    </row>
    <row r="25" spans="1:11" ht="15" customHeight="1">
      <c r="C25" s="33"/>
      <c r="D25" s="4"/>
    </row>
    <row r="26" spans="1:11" ht="15" customHeight="1">
      <c r="C26" s="33"/>
      <c r="D26" s="4"/>
    </row>
    <row r="27" spans="1:11" ht="15" customHeight="1">
      <c r="C27" s="33"/>
      <c r="D27" s="4"/>
    </row>
    <row r="28" spans="1:11" ht="15" customHeight="1">
      <c r="C28" s="33"/>
      <c r="D28" s="4"/>
    </row>
    <row r="29" spans="1:11" ht="15" customHeight="1">
      <c r="C29" s="33"/>
      <c r="D29" s="4"/>
    </row>
    <row r="30" spans="1:11" ht="15" customHeight="1">
      <c r="C30" s="33"/>
      <c r="D30" s="4"/>
    </row>
    <row r="31" spans="1:11" ht="15" customHeight="1">
      <c r="C31" s="33"/>
      <c r="D31" s="4"/>
    </row>
    <row r="32" spans="1:11" ht="15" customHeight="1">
      <c r="C32" s="33"/>
      <c r="D32" s="4"/>
    </row>
    <row r="33" spans="3:4" ht="15" customHeight="1">
      <c r="C33" s="33"/>
      <c r="D33" s="4"/>
    </row>
    <row r="34" spans="3:4" ht="15" customHeight="1">
      <c r="C34" s="33"/>
      <c r="D34" s="4"/>
    </row>
    <row r="35" spans="3:4" ht="15" customHeight="1">
      <c r="C35" s="33"/>
      <c r="D35" s="4"/>
    </row>
    <row r="36" spans="3:4" ht="15" customHeight="1">
      <c r="C36" s="33"/>
      <c r="D36" s="4"/>
    </row>
    <row r="37" spans="3:4" ht="15" customHeight="1">
      <c r="C37" s="33"/>
      <c r="D37" s="4"/>
    </row>
    <row r="38" spans="3:4" ht="15" customHeight="1">
      <c r="C38" s="33"/>
      <c r="D38" s="4"/>
    </row>
    <row r="39" spans="3:4" ht="15" customHeight="1">
      <c r="C39" s="33"/>
      <c r="D39" s="4"/>
    </row>
    <row r="40" spans="3:4" ht="15" customHeight="1">
      <c r="C40" s="33"/>
      <c r="D40" s="4"/>
    </row>
    <row r="41" spans="3:4" ht="15" customHeight="1">
      <c r="C41" s="33"/>
      <c r="D41" s="4"/>
    </row>
    <row r="42" spans="3:4" ht="15" customHeight="1">
      <c r="C42" s="33"/>
      <c r="D42" s="4"/>
    </row>
    <row r="43" spans="3:4" ht="15" customHeight="1">
      <c r="C43" s="33"/>
      <c r="D43" s="4"/>
    </row>
    <row r="44" spans="3:4" ht="15" customHeight="1">
      <c r="C44" s="33"/>
      <c r="D44" s="4"/>
    </row>
    <row r="45" spans="3:4" ht="15" customHeight="1">
      <c r="C45" s="33"/>
      <c r="D45" s="4"/>
    </row>
    <row r="46" spans="3:4" ht="15" customHeight="1">
      <c r="C46" s="33"/>
      <c r="D46" s="4"/>
    </row>
    <row r="47" spans="3:4" ht="15" customHeight="1">
      <c r="C47" s="33"/>
      <c r="D47" s="4"/>
    </row>
    <row r="48" spans="3:4" ht="15" customHeight="1">
      <c r="C48" s="33"/>
      <c r="D48" s="4"/>
    </row>
    <row r="49" spans="3:4" ht="15" customHeight="1">
      <c r="C49" s="33"/>
      <c r="D49" s="4"/>
    </row>
    <row r="50" spans="3:4" ht="15" customHeight="1">
      <c r="C50" s="33"/>
      <c r="D50" s="4"/>
    </row>
    <row r="51" spans="3:4" ht="15" customHeight="1">
      <c r="C51" s="33"/>
      <c r="D51" s="4"/>
    </row>
    <row r="52" spans="3:4" ht="15" customHeight="1">
      <c r="C52" s="33"/>
      <c r="D52" s="4"/>
    </row>
    <row r="53" spans="3:4" ht="15" customHeight="1">
      <c r="C53" s="33"/>
      <c r="D53" s="4"/>
    </row>
    <row r="54" spans="3:4" ht="15" customHeight="1">
      <c r="C54" s="33"/>
      <c r="D54" s="4"/>
    </row>
    <row r="55" spans="3:4" ht="15" customHeight="1">
      <c r="C55" s="33"/>
      <c r="D55" s="4"/>
    </row>
    <row r="56" spans="3:4" ht="15" customHeight="1">
      <c r="C56" s="33"/>
      <c r="D56" s="4"/>
    </row>
    <row r="57" spans="3:4" ht="15" customHeight="1">
      <c r="C57" s="33"/>
      <c r="D57" s="4"/>
    </row>
    <row r="58" spans="3:4" ht="15" customHeight="1">
      <c r="C58" s="33"/>
      <c r="D58" s="4"/>
    </row>
    <row r="59" spans="3:4" ht="15" customHeight="1">
      <c r="C59" s="33"/>
      <c r="D59" s="4"/>
    </row>
    <row r="60" spans="3:4" ht="15" customHeight="1">
      <c r="C60" s="33"/>
      <c r="D60" s="4"/>
    </row>
    <row r="61" spans="3:4" ht="15" customHeight="1">
      <c r="C61" s="33"/>
      <c r="D61" s="4"/>
    </row>
    <row r="62" spans="3:4" ht="15" customHeight="1">
      <c r="C62" s="33"/>
      <c r="D62" s="4"/>
    </row>
    <row r="63" spans="3:4" ht="15" customHeight="1">
      <c r="C63" s="33"/>
      <c r="D63" s="4"/>
    </row>
    <row r="64" spans="3:4" ht="15" customHeight="1">
      <c r="C64" s="33"/>
      <c r="D64" s="4"/>
    </row>
    <row r="65" spans="3:4" ht="15" customHeight="1">
      <c r="C65" s="33"/>
      <c r="D65" s="4"/>
    </row>
    <row r="66" spans="3:4" ht="15" customHeight="1">
      <c r="C66" s="33"/>
      <c r="D66" s="4"/>
    </row>
    <row r="67" spans="3:4" ht="15" customHeight="1">
      <c r="C67" s="33"/>
      <c r="D67" s="4"/>
    </row>
    <row r="68" spans="3:4" ht="15" customHeight="1">
      <c r="C68" s="33"/>
      <c r="D68" s="4"/>
    </row>
    <row r="69" spans="3:4" ht="15" customHeight="1">
      <c r="C69" s="33"/>
      <c r="D69" s="4"/>
    </row>
    <row r="70" spans="3:4" ht="15" customHeight="1">
      <c r="C70" s="33"/>
      <c r="D70" s="4"/>
    </row>
    <row r="71" spans="3:4" ht="15" customHeight="1">
      <c r="C71" s="33"/>
      <c r="D71" s="4"/>
    </row>
    <row r="72" spans="3:4" ht="15" customHeight="1">
      <c r="C72" s="33"/>
      <c r="D72" s="4"/>
    </row>
    <row r="73" spans="3:4" ht="15" customHeight="1">
      <c r="C73" s="33"/>
      <c r="D73" s="4"/>
    </row>
    <row r="74" spans="3:4" ht="15" customHeight="1">
      <c r="C74" s="33"/>
      <c r="D74" s="4"/>
    </row>
    <row r="75" spans="3:4" ht="15" customHeight="1">
      <c r="C75" s="33"/>
      <c r="D75" s="4"/>
    </row>
    <row r="76" spans="3:4" ht="15" customHeight="1">
      <c r="C76" s="33"/>
      <c r="D76" s="4"/>
    </row>
    <row r="77" spans="3:4" ht="15" customHeight="1">
      <c r="C77" s="33"/>
      <c r="D77" s="4"/>
    </row>
    <row r="78" spans="3:4" ht="15" customHeight="1">
      <c r="C78" s="33"/>
      <c r="D78" s="4"/>
    </row>
    <row r="79" spans="3:4" ht="15" customHeight="1">
      <c r="C79" s="33"/>
      <c r="D79" s="4"/>
    </row>
    <row r="80" spans="3:4" ht="15" customHeight="1">
      <c r="C80" s="33"/>
      <c r="D80" s="4"/>
    </row>
    <row r="81" spans="3:4" ht="15" customHeight="1">
      <c r="C81" s="33"/>
      <c r="D81" s="4"/>
    </row>
    <row r="82" spans="3:4" ht="15" customHeight="1">
      <c r="C82" s="33"/>
      <c r="D82" s="4"/>
    </row>
    <row r="83" spans="3:4" ht="15" customHeight="1">
      <c r="C83" s="33"/>
      <c r="D83" s="4"/>
    </row>
  </sheetData>
  <mergeCells count="3">
    <mergeCell ref="A2:H2"/>
    <mergeCell ref="A1:H1"/>
    <mergeCell ref="C21:H21"/>
  </mergeCells>
  <pageMargins left="0.70866141732283472" right="0.70866141732283472" top="0.35433070866141736" bottom="0.47244094488188981" header="0.31496062992125984" footer="0.31496062992125984"/>
  <pageSetup paperSize="9" scale="62"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I88"/>
  <sheetViews>
    <sheetView zoomScaleNormal="100" zoomScaleSheetLayoutView="100" workbookViewId="0">
      <selection activeCell="C14" sqref="C14"/>
    </sheetView>
  </sheetViews>
  <sheetFormatPr defaultColWidth="9.140625" defaultRowHeight="18.75" customHeight="1"/>
  <cols>
    <col min="1" max="1" width="9.140625" style="71"/>
    <col min="2" max="2" width="107.85546875" style="2" bestFit="1" customWidth="1"/>
    <col min="3" max="3" width="23.42578125" style="2" customWidth="1"/>
    <col min="4" max="4" width="15.140625" style="2" customWidth="1"/>
    <col min="5" max="9" width="17.7109375" style="2" bestFit="1" customWidth="1"/>
    <col min="10" max="16384" width="9.140625" style="2"/>
  </cols>
  <sheetData>
    <row r="1" spans="1:9" s="7" customFormat="1" ht="26.25" customHeight="1">
      <c r="A1" s="313" t="s">
        <v>184</v>
      </c>
      <c r="B1" s="313"/>
      <c r="C1" s="313"/>
      <c r="D1" s="313"/>
    </row>
    <row r="2" spans="1:9" s="7" customFormat="1" ht="18.75" customHeight="1">
      <c r="A2" s="325" t="s">
        <v>224</v>
      </c>
      <c r="B2" s="312"/>
      <c r="C2" s="312"/>
      <c r="D2" s="312"/>
    </row>
    <row r="3" spans="1:9" s="80" customFormat="1" ht="18.75" customHeight="1">
      <c r="A3" s="79"/>
    </row>
    <row r="4" spans="1:9" s="80" customFormat="1" ht="18.75" customHeight="1">
      <c r="A4" s="80" t="s">
        <v>182</v>
      </c>
    </row>
    <row r="5" spans="1:9" s="80" customFormat="1" ht="18.75" customHeight="1">
      <c r="A5" s="80" t="s">
        <v>185</v>
      </c>
    </row>
    <row r="6" spans="1:9" s="80" customFormat="1" ht="18.75" customHeight="1">
      <c r="A6" s="80" t="s">
        <v>238</v>
      </c>
    </row>
    <row r="7" spans="1:9" s="80" customFormat="1" ht="18.75" customHeight="1">
      <c r="A7" s="79"/>
    </row>
    <row r="8" spans="1:9" s="77" customFormat="1" ht="26.25" customHeight="1">
      <c r="A8" s="76"/>
      <c r="B8" s="75" t="s">
        <v>186</v>
      </c>
      <c r="C8" s="75" t="s">
        <v>154</v>
      </c>
      <c r="D8" s="23" t="s">
        <v>180</v>
      </c>
      <c r="E8" s="262" t="s">
        <v>300</v>
      </c>
      <c r="F8" s="262" t="s">
        <v>302</v>
      </c>
      <c r="G8" s="262" t="s">
        <v>301</v>
      </c>
      <c r="H8" s="262" t="s">
        <v>299</v>
      </c>
      <c r="I8" s="262" t="s">
        <v>579</v>
      </c>
    </row>
    <row r="9" spans="1:9" ht="18.75" customHeight="1">
      <c r="A9" s="328" t="s">
        <v>202</v>
      </c>
      <c r="B9" s="75" t="s">
        <v>188</v>
      </c>
      <c r="C9" s="75" t="s">
        <v>187</v>
      </c>
      <c r="D9" s="78">
        <v>0</v>
      </c>
      <c r="E9" s="259" t="e">
        <f>InvulRegie[[#This Row],[Prijs excl. BTW]]*Tariefsopbouw!$I$37+InvulRegie[[#This Row],[Prijs excl. BTW]]</f>
        <v>#DIV/0!</v>
      </c>
      <c r="F9" s="260" t="e">
        <f>InvulRegie[[#This Row],[2024]]*Tariefsopbouw!$K$37+InvulRegie[[#This Row],[2024]]</f>
        <v>#DIV/0!</v>
      </c>
      <c r="G9" s="260" t="e">
        <f>InvulRegie[[#This Row],[2025]]*Tariefsopbouw!$M$37+InvulRegie[[#This Row],[2025]]</f>
        <v>#DIV/0!</v>
      </c>
      <c r="H9" s="260" t="e">
        <f>InvulRegie[[#This Row],[2026]]*Tariefsopbouw!$O$37+InvulRegie[[#This Row],[2026]]</f>
        <v>#DIV/0!</v>
      </c>
      <c r="I9" s="260" t="e">
        <f>InvulRegie[[#This Row],[2027]]*Tariefsopbouw!$Q$37+InvulRegie[[#This Row],[2027]]</f>
        <v>#DIV/0!</v>
      </c>
    </row>
    <row r="10" spans="1:9" ht="18.75" customHeight="1">
      <c r="A10" s="329"/>
      <c r="B10" s="75" t="s">
        <v>189</v>
      </c>
      <c r="C10" s="75" t="s">
        <v>187</v>
      </c>
      <c r="D10" s="78">
        <v>0</v>
      </c>
      <c r="E10" s="259" t="e">
        <f>InvulRegie[[#This Row],[Prijs excl. BTW]]*Tariefsopbouw!$I$37+InvulRegie[[#This Row],[Prijs excl. BTW]]</f>
        <v>#DIV/0!</v>
      </c>
      <c r="F10" s="259" t="e">
        <f>InvulRegie[[#This Row],[2024]]*Tariefsopbouw!$K$37+InvulRegie[[#This Row],[2024]]</f>
        <v>#DIV/0!</v>
      </c>
      <c r="G10" s="259" t="e">
        <f>InvulRegie[[#This Row],[2025]]*Tariefsopbouw!$M$37+InvulRegie[[#This Row],[2025]]</f>
        <v>#DIV/0!</v>
      </c>
      <c r="H10" s="259" t="e">
        <f>InvulRegie[[#This Row],[2026]]*Tariefsopbouw!$O$37+InvulRegie[[#This Row],[2026]]</f>
        <v>#DIV/0!</v>
      </c>
      <c r="I10" s="259" t="e">
        <f>InvulRegie[[#This Row],[2027]]*Tariefsopbouw!$Q$37+InvulRegie[[#This Row],[2027]]</f>
        <v>#DIV/0!</v>
      </c>
    </row>
    <row r="11" spans="1:9" ht="18.75" customHeight="1">
      <c r="A11" s="329"/>
      <c r="B11" s="75" t="s">
        <v>190</v>
      </c>
      <c r="C11" s="75" t="s">
        <v>187</v>
      </c>
      <c r="D11" s="78">
        <v>0</v>
      </c>
      <c r="E11" s="259" t="e">
        <f>InvulRegie[[#This Row],[Prijs excl. BTW]]*Tariefsopbouw!$I$37+InvulRegie[[#This Row],[Prijs excl. BTW]]</f>
        <v>#DIV/0!</v>
      </c>
      <c r="F11" s="259" t="e">
        <f>InvulRegie[[#This Row],[2024]]*Tariefsopbouw!$K$37+InvulRegie[[#This Row],[2024]]</f>
        <v>#DIV/0!</v>
      </c>
      <c r="G11" s="259" t="e">
        <f>InvulRegie[[#This Row],[2025]]*Tariefsopbouw!$M$37+InvulRegie[[#This Row],[2025]]</f>
        <v>#DIV/0!</v>
      </c>
      <c r="H11" s="259" t="e">
        <f>InvulRegie[[#This Row],[2026]]*Tariefsopbouw!$O$37+InvulRegie[[#This Row],[2026]]</f>
        <v>#DIV/0!</v>
      </c>
      <c r="I11" s="259" t="e">
        <f>InvulRegie[[#This Row],[2027]]*Tariefsopbouw!$Q$37+InvulRegie[[#This Row],[2027]]</f>
        <v>#DIV/0!</v>
      </c>
    </row>
    <row r="12" spans="1:9" ht="18.75" customHeight="1">
      <c r="A12" s="329"/>
      <c r="B12" s="74" t="s">
        <v>191</v>
      </c>
      <c r="C12" s="75" t="s">
        <v>187</v>
      </c>
      <c r="D12" s="78">
        <v>0</v>
      </c>
      <c r="E12" s="259" t="e">
        <f>InvulRegie[[#This Row],[Prijs excl. BTW]]*Tariefsopbouw!$I$37+InvulRegie[[#This Row],[Prijs excl. BTW]]</f>
        <v>#DIV/0!</v>
      </c>
      <c r="F12" s="259" t="e">
        <f>InvulRegie[[#This Row],[2024]]*Tariefsopbouw!$K$37+InvulRegie[[#This Row],[2024]]</f>
        <v>#DIV/0!</v>
      </c>
      <c r="G12" s="259" t="e">
        <f>InvulRegie[[#This Row],[2025]]*Tariefsopbouw!$M$37+InvulRegie[[#This Row],[2025]]</f>
        <v>#DIV/0!</v>
      </c>
      <c r="H12" s="259" t="e">
        <f>InvulRegie[[#This Row],[2026]]*Tariefsopbouw!$O$37+InvulRegie[[#This Row],[2026]]</f>
        <v>#DIV/0!</v>
      </c>
      <c r="I12" s="259" t="e">
        <f>InvulRegie[[#This Row],[2027]]*Tariefsopbouw!$Q$37+InvulRegie[[#This Row],[2027]]</f>
        <v>#DIV/0!</v>
      </c>
    </row>
    <row r="13" spans="1:9" ht="18.75" customHeight="1">
      <c r="A13" s="329"/>
      <c r="B13" s="74" t="s">
        <v>210</v>
      </c>
      <c r="C13" s="75" t="s">
        <v>187</v>
      </c>
      <c r="D13" s="78">
        <v>0</v>
      </c>
      <c r="E13" s="263" t="e">
        <f>InvulRegie[[#This Row],[Prijs excl. BTW]]*Tariefsopbouw!$I$37+InvulRegie[[#This Row],[Prijs excl. BTW]]</f>
        <v>#DIV/0!</v>
      </c>
      <c r="F13" s="263" t="e">
        <f>InvulRegie[[#This Row],[2024]]*Tariefsopbouw!$K$37+InvulRegie[[#This Row],[2024]]</f>
        <v>#DIV/0!</v>
      </c>
      <c r="G13" s="263" t="e">
        <f>InvulRegie[[#This Row],[2025]]*Tariefsopbouw!$M$37+InvulRegie[[#This Row],[2025]]</f>
        <v>#DIV/0!</v>
      </c>
      <c r="H13" s="263" t="e">
        <f>InvulRegie[[#This Row],[2026]]*Tariefsopbouw!$O$37+InvulRegie[[#This Row],[2026]]</f>
        <v>#DIV/0!</v>
      </c>
      <c r="I13" s="263" t="e">
        <f>InvulRegie[[#This Row],[2027]]*Tariefsopbouw!$Q$37+InvulRegie[[#This Row],[2027]]</f>
        <v>#DIV/0!</v>
      </c>
    </row>
    <row r="14" spans="1:9" ht="18.75" customHeight="1">
      <c r="A14" s="330"/>
      <c r="B14" s="75" t="s">
        <v>197</v>
      </c>
      <c r="C14" s="75" t="s">
        <v>187</v>
      </c>
      <c r="D14" s="78">
        <v>0</v>
      </c>
      <c r="E14" s="263" t="e">
        <f>InvulRegie[[#This Row],[Prijs excl. BTW]]*Tariefsopbouw!$I$37+InvulRegie[[#This Row],[Prijs excl. BTW]]</f>
        <v>#DIV/0!</v>
      </c>
      <c r="F14" s="263" t="e">
        <f>InvulRegie[[#This Row],[2024]]*Tariefsopbouw!$K$37+InvulRegie[[#This Row],[2024]]</f>
        <v>#DIV/0!</v>
      </c>
      <c r="G14" s="263" t="e">
        <f>InvulRegie[[#This Row],[2025]]*Tariefsopbouw!$M$37+InvulRegie[[#This Row],[2025]]</f>
        <v>#DIV/0!</v>
      </c>
      <c r="H14" s="263" t="e">
        <f>InvulRegie[[#This Row],[2026]]*Tariefsopbouw!$O$37+InvulRegie[[#This Row],[2026]]</f>
        <v>#DIV/0!</v>
      </c>
      <c r="I14" s="263" t="e">
        <f>InvulRegie[[#This Row],[2027]]*Tariefsopbouw!$Q$37+InvulRegie[[#This Row],[2027]]</f>
        <v>#DIV/0!</v>
      </c>
    </row>
    <row r="15" spans="1:9" ht="18.75" customHeight="1">
      <c r="A15" s="328" t="s">
        <v>137</v>
      </c>
      <c r="B15" s="75" t="s">
        <v>43</v>
      </c>
      <c r="C15" s="75" t="s">
        <v>44</v>
      </c>
      <c r="D15" s="78">
        <v>0</v>
      </c>
      <c r="E15" s="263" t="e">
        <f>InvulRegie[[#This Row],[Prijs excl. BTW]]*Tariefsopbouw!$I$37+InvulRegie[[#This Row],[Prijs excl. BTW]]</f>
        <v>#DIV/0!</v>
      </c>
      <c r="F15" s="263" t="e">
        <f>InvulRegie[[#This Row],[2024]]*Tariefsopbouw!$K$37+InvulRegie[[#This Row],[2024]]</f>
        <v>#DIV/0!</v>
      </c>
      <c r="G15" s="263" t="e">
        <f>InvulRegie[[#This Row],[2025]]*Tariefsopbouw!$M$37+InvulRegie[[#This Row],[2025]]</f>
        <v>#DIV/0!</v>
      </c>
      <c r="H15" s="263" t="e">
        <f>InvulRegie[[#This Row],[2026]]*Tariefsopbouw!$O$37+InvulRegie[[#This Row],[2026]]</f>
        <v>#DIV/0!</v>
      </c>
      <c r="I15" s="263" t="e">
        <f>InvulRegie[[#This Row],[2027]]*Tariefsopbouw!$Q$37+InvulRegie[[#This Row],[2027]]</f>
        <v>#DIV/0!</v>
      </c>
    </row>
    <row r="16" spans="1:9" ht="18.75" customHeight="1">
      <c r="A16" s="329"/>
      <c r="B16" s="75" t="s">
        <v>45</v>
      </c>
      <c r="C16" s="75" t="s">
        <v>192</v>
      </c>
      <c r="D16" s="78">
        <v>0</v>
      </c>
      <c r="E16" s="263" t="e">
        <f>InvulRegie[[#This Row],[Prijs excl. BTW]]*Tariefsopbouw!$I$37+InvulRegie[[#This Row],[Prijs excl. BTW]]</f>
        <v>#DIV/0!</v>
      </c>
      <c r="F16" s="263" t="e">
        <f>InvulRegie[[#This Row],[2024]]*Tariefsopbouw!$K$37+InvulRegie[[#This Row],[2024]]</f>
        <v>#DIV/0!</v>
      </c>
      <c r="G16" s="263" t="e">
        <f>InvulRegie[[#This Row],[2025]]*Tariefsopbouw!$M$37+InvulRegie[[#This Row],[2025]]</f>
        <v>#DIV/0!</v>
      </c>
      <c r="H16" s="263" t="e">
        <f>InvulRegie[[#This Row],[2026]]*Tariefsopbouw!$O$37+InvulRegie[[#This Row],[2026]]</f>
        <v>#DIV/0!</v>
      </c>
      <c r="I16" s="263" t="e">
        <f>InvulRegie[[#This Row],[2027]]*Tariefsopbouw!$Q$37+InvulRegie[[#This Row],[2027]]</f>
        <v>#DIV/0!</v>
      </c>
    </row>
    <row r="17" spans="1:9" ht="18.75" customHeight="1">
      <c r="A17" s="329"/>
      <c r="B17" s="75" t="s">
        <v>193</v>
      </c>
      <c r="C17" s="75" t="s">
        <v>192</v>
      </c>
      <c r="D17" s="78">
        <v>0</v>
      </c>
      <c r="E17" s="263" t="e">
        <f>InvulRegie[[#This Row],[Prijs excl. BTW]]*Tariefsopbouw!$I$37+InvulRegie[[#This Row],[Prijs excl. BTW]]</f>
        <v>#DIV/0!</v>
      </c>
      <c r="F17" s="263" t="e">
        <f>InvulRegie[[#This Row],[2024]]*Tariefsopbouw!$K$37+InvulRegie[[#This Row],[2024]]</f>
        <v>#DIV/0!</v>
      </c>
      <c r="G17" s="263" t="e">
        <f>InvulRegie[[#This Row],[2025]]*Tariefsopbouw!$M$37+InvulRegie[[#This Row],[2025]]</f>
        <v>#DIV/0!</v>
      </c>
      <c r="H17" s="263" t="e">
        <f>InvulRegie[[#This Row],[2026]]*Tariefsopbouw!$O$37+InvulRegie[[#This Row],[2026]]</f>
        <v>#DIV/0!</v>
      </c>
      <c r="I17" s="263" t="e">
        <f>InvulRegie[[#This Row],[2027]]*Tariefsopbouw!$Q$37+InvulRegie[[#This Row],[2027]]</f>
        <v>#DIV/0!</v>
      </c>
    </row>
    <row r="18" spans="1:9" ht="18.75" customHeight="1">
      <c r="A18" s="329"/>
      <c r="B18" s="75" t="s">
        <v>194</v>
      </c>
      <c r="C18" s="75" t="s">
        <v>46</v>
      </c>
      <c r="D18" s="78">
        <v>0</v>
      </c>
      <c r="E18" s="263" t="e">
        <f>InvulRegie[[#This Row],[Prijs excl. BTW]]*Tariefsopbouw!$I$37+InvulRegie[[#This Row],[Prijs excl. BTW]]</f>
        <v>#DIV/0!</v>
      </c>
      <c r="F18" s="263" t="e">
        <f>InvulRegie[[#This Row],[2024]]*Tariefsopbouw!$K$37+InvulRegie[[#This Row],[2024]]</f>
        <v>#DIV/0!</v>
      </c>
      <c r="G18" s="263" t="e">
        <f>InvulRegie[[#This Row],[2025]]*Tariefsopbouw!$M$37+InvulRegie[[#This Row],[2025]]</f>
        <v>#DIV/0!</v>
      </c>
      <c r="H18" s="263" t="e">
        <f>InvulRegie[[#This Row],[2026]]*Tariefsopbouw!$O$37+InvulRegie[[#This Row],[2026]]</f>
        <v>#DIV/0!</v>
      </c>
      <c r="I18" s="263" t="e">
        <f>InvulRegie[[#This Row],[2027]]*Tariefsopbouw!$Q$37+InvulRegie[[#This Row],[2027]]</f>
        <v>#DIV/0!</v>
      </c>
    </row>
    <row r="19" spans="1:9" ht="18.75" customHeight="1">
      <c r="A19" s="329"/>
      <c r="B19" s="75" t="s">
        <v>263</v>
      </c>
      <c r="C19" s="75" t="s">
        <v>46</v>
      </c>
      <c r="D19" s="78">
        <v>0</v>
      </c>
      <c r="E19" s="263" t="e">
        <f>InvulRegie[[#This Row],[Prijs excl. BTW]]*Tariefsopbouw!$I$37+InvulRegie[[#This Row],[Prijs excl. BTW]]</f>
        <v>#DIV/0!</v>
      </c>
      <c r="F19" s="263" t="e">
        <f>InvulRegie[[#This Row],[2024]]*Tariefsopbouw!$K$37+InvulRegie[[#This Row],[2024]]</f>
        <v>#DIV/0!</v>
      </c>
      <c r="G19" s="263" t="e">
        <f>InvulRegie[[#This Row],[2025]]*Tariefsopbouw!$M$37+InvulRegie[[#This Row],[2025]]</f>
        <v>#DIV/0!</v>
      </c>
      <c r="H19" s="263" t="e">
        <f>InvulRegie[[#This Row],[2026]]*Tariefsopbouw!$O$37+InvulRegie[[#This Row],[2026]]</f>
        <v>#DIV/0!</v>
      </c>
      <c r="I19" s="263" t="e">
        <f>InvulRegie[[#This Row],[2027]]*Tariefsopbouw!$Q$37+InvulRegie[[#This Row],[2027]]</f>
        <v>#DIV/0!</v>
      </c>
    </row>
    <row r="20" spans="1:9" ht="18.75" customHeight="1">
      <c r="A20" s="329"/>
      <c r="B20" s="75" t="s">
        <v>195</v>
      </c>
      <c r="C20" s="75" t="s">
        <v>46</v>
      </c>
      <c r="D20" s="78">
        <v>0</v>
      </c>
      <c r="E20" s="263" t="e">
        <f>InvulRegie[[#This Row],[Prijs excl. BTW]]*Tariefsopbouw!$I$37+InvulRegie[[#This Row],[Prijs excl. BTW]]</f>
        <v>#DIV/0!</v>
      </c>
      <c r="F20" s="263" t="e">
        <f>InvulRegie[[#This Row],[2024]]*Tariefsopbouw!$K$37+InvulRegie[[#This Row],[2024]]</f>
        <v>#DIV/0!</v>
      </c>
      <c r="G20" s="263" t="e">
        <f>InvulRegie[[#This Row],[2025]]*Tariefsopbouw!$M$37+InvulRegie[[#This Row],[2025]]</f>
        <v>#DIV/0!</v>
      </c>
      <c r="H20" s="263" t="e">
        <f>InvulRegie[[#This Row],[2026]]*Tariefsopbouw!$O$37+InvulRegie[[#This Row],[2026]]</f>
        <v>#DIV/0!</v>
      </c>
      <c r="I20" s="263" t="e">
        <f>InvulRegie[[#This Row],[2027]]*Tariefsopbouw!$Q$37+InvulRegie[[#This Row],[2027]]</f>
        <v>#DIV/0!</v>
      </c>
    </row>
    <row r="21" spans="1:9" ht="18.75" customHeight="1">
      <c r="A21" s="330"/>
      <c r="B21" s="75" t="s">
        <v>196</v>
      </c>
      <c r="C21" s="75" t="s">
        <v>46</v>
      </c>
      <c r="D21" s="78">
        <v>0</v>
      </c>
      <c r="E21" s="263" t="e">
        <f>InvulRegie[[#This Row],[Prijs excl. BTW]]*Tariefsopbouw!$I$37+InvulRegie[[#This Row],[Prijs excl. BTW]]</f>
        <v>#DIV/0!</v>
      </c>
      <c r="F21" s="263" t="e">
        <f>InvulRegie[[#This Row],[2024]]*Tariefsopbouw!$K$37+InvulRegie[[#This Row],[2024]]</f>
        <v>#DIV/0!</v>
      </c>
      <c r="G21" s="263" t="e">
        <f>InvulRegie[[#This Row],[2025]]*Tariefsopbouw!$M$37+InvulRegie[[#This Row],[2025]]</f>
        <v>#DIV/0!</v>
      </c>
      <c r="H21" s="263" t="e">
        <f>InvulRegie[[#This Row],[2026]]*Tariefsopbouw!$O$37+InvulRegie[[#This Row],[2026]]</f>
        <v>#DIV/0!</v>
      </c>
      <c r="I21" s="263" t="e">
        <f>InvulRegie[[#This Row],[2027]]*Tariefsopbouw!$Q$37+InvulRegie[[#This Row],[2027]]</f>
        <v>#DIV/0!</v>
      </c>
    </row>
    <row r="22" spans="1:9" ht="18.75" customHeight="1">
      <c r="A22" s="328" t="s">
        <v>199</v>
      </c>
      <c r="B22" s="75" t="s">
        <v>59</v>
      </c>
      <c r="C22" s="75" t="s">
        <v>51</v>
      </c>
      <c r="D22" s="78">
        <v>0</v>
      </c>
      <c r="E22" s="263" t="e">
        <f>InvulRegie[[#This Row],[Prijs excl. BTW]]*Tariefsopbouw!$I$37+InvulRegie[[#This Row],[Prijs excl. BTW]]</f>
        <v>#DIV/0!</v>
      </c>
      <c r="F22" s="263" t="e">
        <f>InvulRegie[[#This Row],[2024]]*Tariefsopbouw!$K$37+InvulRegie[[#This Row],[2024]]</f>
        <v>#DIV/0!</v>
      </c>
      <c r="G22" s="263" t="e">
        <f>InvulRegie[[#This Row],[2025]]*Tariefsopbouw!$M$37+InvulRegie[[#This Row],[2025]]</f>
        <v>#DIV/0!</v>
      </c>
      <c r="H22" s="263" t="e">
        <f>InvulRegie[[#This Row],[2026]]*Tariefsopbouw!$O$37+InvulRegie[[#This Row],[2026]]</f>
        <v>#DIV/0!</v>
      </c>
      <c r="I22" s="263" t="e">
        <f>InvulRegie[[#This Row],[2027]]*Tariefsopbouw!$Q$37+InvulRegie[[#This Row],[2027]]</f>
        <v>#DIV/0!</v>
      </c>
    </row>
    <row r="23" spans="1:9" ht="18.75" customHeight="1">
      <c r="A23" s="330"/>
      <c r="B23" s="75" t="s">
        <v>47</v>
      </c>
      <c r="C23" s="75" t="s">
        <v>78</v>
      </c>
      <c r="D23" s="78">
        <v>0</v>
      </c>
      <c r="E23" s="263" t="e">
        <f>InvulRegie[[#This Row],[Prijs excl. BTW]]*Tariefsopbouw!$I$37+InvulRegie[[#This Row],[Prijs excl. BTW]]</f>
        <v>#DIV/0!</v>
      </c>
      <c r="F23" s="263" t="e">
        <f>InvulRegie[[#This Row],[2024]]*Tariefsopbouw!$K$37+InvulRegie[[#This Row],[2024]]</f>
        <v>#DIV/0!</v>
      </c>
      <c r="G23" s="263" t="e">
        <f>InvulRegie[[#This Row],[2025]]*Tariefsopbouw!$M$37+InvulRegie[[#This Row],[2025]]</f>
        <v>#DIV/0!</v>
      </c>
      <c r="H23" s="263" t="e">
        <f>InvulRegie[[#This Row],[2026]]*Tariefsopbouw!$O$37+InvulRegie[[#This Row],[2026]]</f>
        <v>#DIV/0!</v>
      </c>
      <c r="I23" s="263" t="e">
        <f>InvulRegie[[#This Row],[2027]]*Tariefsopbouw!$Q$37+InvulRegie[[#This Row],[2027]]</f>
        <v>#DIV/0!</v>
      </c>
    </row>
    <row r="24" spans="1:9" ht="18.75" customHeight="1">
      <c r="A24" s="328" t="s">
        <v>211</v>
      </c>
      <c r="B24" s="75" t="s">
        <v>200</v>
      </c>
      <c r="C24" s="75" t="s">
        <v>201</v>
      </c>
      <c r="D24" s="78">
        <v>0</v>
      </c>
      <c r="E24" s="263" t="e">
        <f>InvulRegie[[#This Row],[Prijs excl. BTW]]*Tariefsopbouw!$I$37+InvulRegie[[#This Row],[Prijs excl. BTW]]</f>
        <v>#DIV/0!</v>
      </c>
      <c r="F24" s="263" t="e">
        <f>InvulRegie[[#This Row],[2024]]*Tariefsopbouw!$K$37+InvulRegie[[#This Row],[2024]]</f>
        <v>#DIV/0!</v>
      </c>
      <c r="G24" s="263" t="e">
        <f>InvulRegie[[#This Row],[2025]]*Tariefsopbouw!$M$37+InvulRegie[[#This Row],[2025]]</f>
        <v>#DIV/0!</v>
      </c>
      <c r="H24" s="263" t="e">
        <f>InvulRegie[[#This Row],[2026]]*Tariefsopbouw!$O$37+InvulRegie[[#This Row],[2026]]</f>
        <v>#DIV/0!</v>
      </c>
      <c r="I24" s="263" t="e">
        <f>InvulRegie[[#This Row],[2027]]*Tariefsopbouw!$Q$37+InvulRegie[[#This Row],[2027]]</f>
        <v>#DIV/0!</v>
      </c>
    </row>
    <row r="25" spans="1:9" ht="18.75" customHeight="1">
      <c r="A25" s="329"/>
      <c r="B25" s="75" t="s">
        <v>256</v>
      </c>
      <c r="C25" s="75" t="s">
        <v>201</v>
      </c>
      <c r="D25" s="78">
        <v>0</v>
      </c>
      <c r="E25" s="263" t="e">
        <f>InvulRegie[[#This Row],[Prijs excl. BTW]]*Tariefsopbouw!$I$37+InvulRegie[[#This Row],[Prijs excl. BTW]]</f>
        <v>#DIV/0!</v>
      </c>
      <c r="F25" s="263" t="e">
        <f>InvulRegie[[#This Row],[2024]]*Tariefsopbouw!$K$37+InvulRegie[[#This Row],[2024]]</f>
        <v>#DIV/0!</v>
      </c>
      <c r="G25" s="263" t="e">
        <f>InvulRegie[[#This Row],[2025]]*Tariefsopbouw!$M$37+InvulRegie[[#This Row],[2025]]</f>
        <v>#DIV/0!</v>
      </c>
      <c r="H25" s="263" t="e">
        <f>InvulRegie[[#This Row],[2026]]*Tariefsopbouw!$O$37+InvulRegie[[#This Row],[2026]]</f>
        <v>#DIV/0!</v>
      </c>
      <c r="I25" s="263" t="e">
        <f>InvulRegie[[#This Row],[2027]]*Tariefsopbouw!$Q$37+InvulRegie[[#This Row],[2027]]</f>
        <v>#DIV/0!</v>
      </c>
    </row>
    <row r="26" spans="1:9" ht="18.75" customHeight="1">
      <c r="A26" s="329"/>
      <c r="B26" s="75" t="s">
        <v>258</v>
      </c>
      <c r="C26" s="75" t="s">
        <v>201</v>
      </c>
      <c r="D26" s="78">
        <v>0</v>
      </c>
      <c r="E26" s="263" t="e">
        <f>InvulRegie[[#This Row],[Prijs excl. BTW]]*Tariefsopbouw!$I$37+InvulRegie[[#This Row],[Prijs excl. BTW]]</f>
        <v>#DIV/0!</v>
      </c>
      <c r="F26" s="263" t="e">
        <f>InvulRegie[[#This Row],[2024]]*Tariefsopbouw!$K$37+InvulRegie[[#This Row],[2024]]</f>
        <v>#DIV/0!</v>
      </c>
      <c r="G26" s="263" t="e">
        <f>InvulRegie[[#This Row],[2025]]*Tariefsopbouw!$M$37+InvulRegie[[#This Row],[2025]]</f>
        <v>#DIV/0!</v>
      </c>
      <c r="H26" s="263" t="e">
        <f>InvulRegie[[#This Row],[2026]]*Tariefsopbouw!$O$37+InvulRegie[[#This Row],[2026]]</f>
        <v>#DIV/0!</v>
      </c>
      <c r="I26" s="263" t="e">
        <f>InvulRegie[[#This Row],[2027]]*Tariefsopbouw!$Q$37+InvulRegie[[#This Row],[2027]]</f>
        <v>#DIV/0!</v>
      </c>
    </row>
    <row r="27" spans="1:9" ht="18.75" customHeight="1">
      <c r="A27" s="329"/>
      <c r="B27" s="75" t="s">
        <v>257</v>
      </c>
      <c r="C27" s="75" t="s">
        <v>201</v>
      </c>
      <c r="D27" s="78">
        <v>0</v>
      </c>
      <c r="E27" s="263" t="e">
        <f>InvulRegie[[#This Row],[Prijs excl. BTW]]*Tariefsopbouw!$I$37+InvulRegie[[#This Row],[Prijs excl. BTW]]</f>
        <v>#DIV/0!</v>
      </c>
      <c r="F27" s="263" t="e">
        <f>InvulRegie[[#This Row],[2024]]*Tariefsopbouw!$K$37+InvulRegie[[#This Row],[2024]]</f>
        <v>#DIV/0!</v>
      </c>
      <c r="G27" s="263" t="e">
        <f>InvulRegie[[#This Row],[2025]]*Tariefsopbouw!$M$37+InvulRegie[[#This Row],[2025]]</f>
        <v>#DIV/0!</v>
      </c>
      <c r="H27" s="263" t="e">
        <f>InvulRegie[[#This Row],[2026]]*Tariefsopbouw!$O$37+InvulRegie[[#This Row],[2026]]</f>
        <v>#DIV/0!</v>
      </c>
      <c r="I27" s="263" t="e">
        <f>InvulRegie[[#This Row],[2027]]*Tariefsopbouw!$Q$37+InvulRegie[[#This Row],[2027]]</f>
        <v>#DIV/0!</v>
      </c>
    </row>
    <row r="28" spans="1:9" ht="18.75" customHeight="1">
      <c r="A28" s="330"/>
      <c r="B28" s="75" t="s">
        <v>50</v>
      </c>
      <c r="C28" s="75" t="s">
        <v>201</v>
      </c>
      <c r="D28" s="78">
        <v>0</v>
      </c>
      <c r="E28" s="263" t="e">
        <f>InvulRegie[[#This Row],[Prijs excl. BTW]]*Tariefsopbouw!$I$37+InvulRegie[[#This Row],[Prijs excl. BTW]]</f>
        <v>#DIV/0!</v>
      </c>
      <c r="F28" s="263" t="e">
        <f>InvulRegie[[#This Row],[2024]]*Tariefsopbouw!$K$37+InvulRegie[[#This Row],[2024]]</f>
        <v>#DIV/0!</v>
      </c>
      <c r="G28" s="263" t="e">
        <f>InvulRegie[[#This Row],[2025]]*Tariefsopbouw!$M$37+InvulRegie[[#This Row],[2025]]</f>
        <v>#DIV/0!</v>
      </c>
      <c r="H28" s="263" t="e">
        <f>InvulRegie[[#This Row],[2026]]*Tariefsopbouw!$O$37+InvulRegie[[#This Row],[2026]]</f>
        <v>#DIV/0!</v>
      </c>
      <c r="I28" s="263" t="e">
        <f>InvulRegie[[#This Row],[2027]]*Tariefsopbouw!$Q$37+InvulRegie[[#This Row],[2027]]</f>
        <v>#DIV/0!</v>
      </c>
    </row>
    <row r="29" spans="1:9" ht="18.75" customHeight="1">
      <c r="A29" s="328" t="s">
        <v>212</v>
      </c>
      <c r="B29" s="74" t="s">
        <v>213</v>
      </c>
      <c r="C29" s="75" t="s">
        <v>198</v>
      </c>
      <c r="D29" s="78">
        <v>0</v>
      </c>
      <c r="E29" s="263" t="e">
        <f>InvulRegie[[#This Row],[Prijs excl. BTW]]*Tariefsopbouw!$I$37+InvulRegie[[#This Row],[Prijs excl. BTW]]</f>
        <v>#DIV/0!</v>
      </c>
      <c r="F29" s="261" t="e">
        <f>InvulRegie[[#This Row],[2024]]*Tariefsopbouw!$K$37+InvulRegie[[#This Row],[2024]]</f>
        <v>#DIV/0!</v>
      </c>
      <c r="G29" s="263" t="e">
        <f>InvulRegie[[#This Row],[2025]]*Tariefsopbouw!$M$37+InvulRegie[[#This Row],[2025]]</f>
        <v>#DIV/0!</v>
      </c>
      <c r="H29" s="263" t="e">
        <f>InvulRegie[[#This Row],[2026]]*Tariefsopbouw!$O$37+InvulRegie[[#This Row],[2026]]</f>
        <v>#DIV/0!</v>
      </c>
      <c r="I29" s="263" t="e">
        <f>InvulRegie[[#This Row],[2027]]*Tariefsopbouw!$Q$37+InvulRegie[[#This Row],[2027]]</f>
        <v>#DIV/0!</v>
      </c>
    </row>
    <row r="30" spans="1:9" ht="18.75" customHeight="1">
      <c r="A30" s="329"/>
      <c r="B30" s="74" t="s">
        <v>214</v>
      </c>
      <c r="C30" s="75" t="s">
        <v>198</v>
      </c>
      <c r="D30" s="78">
        <v>0</v>
      </c>
      <c r="E30" s="263" t="e">
        <f>InvulRegie[[#This Row],[Prijs excl. BTW]]*Tariefsopbouw!$I$37+InvulRegie[[#This Row],[Prijs excl. BTW]]</f>
        <v>#DIV/0!</v>
      </c>
      <c r="F30" s="261" t="e">
        <f>InvulRegie[[#This Row],[2024]]*Tariefsopbouw!$K$37+InvulRegie[[#This Row],[2024]]</f>
        <v>#DIV/0!</v>
      </c>
      <c r="G30" s="263" t="e">
        <f>InvulRegie[[#This Row],[2025]]*Tariefsopbouw!$M$37+InvulRegie[[#This Row],[2025]]</f>
        <v>#DIV/0!</v>
      </c>
      <c r="H30" s="263" t="e">
        <f>InvulRegie[[#This Row],[2026]]*Tariefsopbouw!$O$37+InvulRegie[[#This Row],[2026]]</f>
        <v>#DIV/0!</v>
      </c>
      <c r="I30" s="263" t="e">
        <f>InvulRegie[[#This Row],[2027]]*Tariefsopbouw!$Q$37+InvulRegie[[#This Row],[2027]]</f>
        <v>#DIV/0!</v>
      </c>
    </row>
    <row r="31" spans="1:9" ht="18.75" customHeight="1">
      <c r="A31" s="330"/>
      <c r="B31" s="74" t="s">
        <v>215</v>
      </c>
      <c r="C31" s="75" t="s">
        <v>198</v>
      </c>
      <c r="D31" s="78">
        <v>0</v>
      </c>
      <c r="E31" s="263" t="e">
        <f>InvulRegie[[#This Row],[Prijs excl. BTW]]*Tariefsopbouw!$I$37+InvulRegie[[#This Row],[Prijs excl. BTW]]</f>
        <v>#DIV/0!</v>
      </c>
      <c r="F31" s="261" t="e">
        <f>InvulRegie[[#This Row],[2024]]*Tariefsopbouw!$K$37+InvulRegie[[#This Row],[2024]]</f>
        <v>#DIV/0!</v>
      </c>
      <c r="G31" s="263" t="e">
        <f>InvulRegie[[#This Row],[2025]]*Tariefsopbouw!$M$37+InvulRegie[[#This Row],[2025]]</f>
        <v>#DIV/0!</v>
      </c>
      <c r="H31" s="263" t="e">
        <f>InvulRegie[[#This Row],[2026]]*Tariefsopbouw!$O$37+InvulRegie[[#This Row],[2026]]</f>
        <v>#DIV/0!</v>
      </c>
      <c r="I31" s="263" t="e">
        <f>InvulRegie[[#This Row],[2027]]*Tariefsopbouw!$Q$37+InvulRegie[[#This Row],[2027]]</f>
        <v>#DIV/0!</v>
      </c>
    </row>
    <row r="32" spans="1:9" ht="18.75" customHeight="1">
      <c r="A32" s="328" t="s">
        <v>206</v>
      </c>
      <c r="B32" s="75" t="s">
        <v>52</v>
      </c>
      <c r="C32" s="75" t="s">
        <v>51</v>
      </c>
      <c r="D32" s="78">
        <v>0</v>
      </c>
      <c r="E32" s="263" t="e">
        <f>InvulRegie[[#This Row],[Prijs excl. BTW]]*Tariefsopbouw!$I$37+InvulRegie[[#This Row],[Prijs excl. BTW]]</f>
        <v>#DIV/0!</v>
      </c>
      <c r="F32" s="263" t="e">
        <f>InvulRegie[[#This Row],[2024]]*Tariefsopbouw!$K$37+InvulRegie[[#This Row],[2024]]</f>
        <v>#DIV/0!</v>
      </c>
      <c r="G32" s="263" t="e">
        <f>InvulRegie[[#This Row],[2025]]*Tariefsopbouw!$M$37+InvulRegie[[#This Row],[2025]]</f>
        <v>#DIV/0!</v>
      </c>
      <c r="H32" s="263" t="e">
        <f>InvulRegie[[#This Row],[2026]]*Tariefsopbouw!$O$37+InvulRegie[[#This Row],[2026]]</f>
        <v>#DIV/0!</v>
      </c>
      <c r="I32" s="263" t="e">
        <f>InvulRegie[[#This Row],[2027]]*Tariefsopbouw!$Q$37+InvulRegie[[#This Row],[2027]]</f>
        <v>#DIV/0!</v>
      </c>
    </row>
    <row r="33" spans="1:9" ht="18.75" customHeight="1">
      <c r="A33" s="329"/>
      <c r="B33" s="75" t="s">
        <v>53</v>
      </c>
      <c r="C33" s="75" t="s">
        <v>51</v>
      </c>
      <c r="D33" s="78">
        <v>0</v>
      </c>
      <c r="E33" s="263" t="e">
        <f>InvulRegie[[#This Row],[Prijs excl. BTW]]*Tariefsopbouw!$I$37+InvulRegie[[#This Row],[Prijs excl. BTW]]</f>
        <v>#DIV/0!</v>
      </c>
      <c r="F33" s="263" t="e">
        <f>InvulRegie[[#This Row],[2024]]*Tariefsopbouw!$K$37+InvulRegie[[#This Row],[2024]]</f>
        <v>#DIV/0!</v>
      </c>
      <c r="G33" s="263" t="e">
        <f>InvulRegie[[#This Row],[2025]]*Tariefsopbouw!$M$37+InvulRegie[[#This Row],[2025]]</f>
        <v>#DIV/0!</v>
      </c>
      <c r="H33" s="263" t="e">
        <f>InvulRegie[[#This Row],[2026]]*Tariefsopbouw!$O$37+InvulRegie[[#This Row],[2026]]</f>
        <v>#DIV/0!</v>
      </c>
      <c r="I33" s="263" t="e">
        <f>InvulRegie[[#This Row],[2027]]*Tariefsopbouw!$Q$37+InvulRegie[[#This Row],[2027]]</f>
        <v>#DIV/0!</v>
      </c>
    </row>
    <row r="34" spans="1:9" ht="18.75" customHeight="1">
      <c r="A34" s="329"/>
      <c r="B34" s="75" t="s">
        <v>54</v>
      </c>
      <c r="C34" s="75" t="s">
        <v>51</v>
      </c>
      <c r="D34" s="78">
        <v>0</v>
      </c>
      <c r="E34" s="263" t="e">
        <f>InvulRegie[[#This Row],[Prijs excl. BTW]]*Tariefsopbouw!$I$37+InvulRegie[[#This Row],[Prijs excl. BTW]]</f>
        <v>#DIV/0!</v>
      </c>
      <c r="F34" s="263" t="e">
        <f>InvulRegie[[#This Row],[2024]]*Tariefsopbouw!$K$37+InvulRegie[[#This Row],[2024]]</f>
        <v>#DIV/0!</v>
      </c>
      <c r="G34" s="263" t="e">
        <f>InvulRegie[[#This Row],[2025]]*Tariefsopbouw!$M$37+InvulRegie[[#This Row],[2025]]</f>
        <v>#DIV/0!</v>
      </c>
      <c r="H34" s="263" t="e">
        <f>InvulRegie[[#This Row],[2026]]*Tariefsopbouw!$O$37+InvulRegie[[#This Row],[2026]]</f>
        <v>#DIV/0!</v>
      </c>
      <c r="I34" s="263" t="e">
        <f>InvulRegie[[#This Row],[2027]]*Tariefsopbouw!$Q$37+InvulRegie[[#This Row],[2027]]</f>
        <v>#DIV/0!</v>
      </c>
    </row>
    <row r="35" spans="1:9" ht="18.75" customHeight="1">
      <c r="A35" s="329"/>
      <c r="B35" s="75" t="s">
        <v>55</v>
      </c>
      <c r="C35" s="75" t="s">
        <v>51</v>
      </c>
      <c r="D35" s="78">
        <v>0</v>
      </c>
      <c r="E35" s="263" t="e">
        <f>InvulRegie[[#This Row],[Prijs excl. BTW]]*Tariefsopbouw!$I$37+InvulRegie[[#This Row],[Prijs excl. BTW]]</f>
        <v>#DIV/0!</v>
      </c>
      <c r="F35" s="263" t="e">
        <f>InvulRegie[[#This Row],[2024]]*Tariefsopbouw!$K$37+InvulRegie[[#This Row],[2024]]</f>
        <v>#DIV/0!</v>
      </c>
      <c r="G35" s="263" t="e">
        <f>InvulRegie[[#This Row],[2025]]*Tariefsopbouw!$M$37+InvulRegie[[#This Row],[2025]]</f>
        <v>#DIV/0!</v>
      </c>
      <c r="H35" s="263" t="e">
        <f>InvulRegie[[#This Row],[2026]]*Tariefsopbouw!$O$37+InvulRegie[[#This Row],[2026]]</f>
        <v>#DIV/0!</v>
      </c>
      <c r="I35" s="263" t="e">
        <f>InvulRegie[[#This Row],[2027]]*Tariefsopbouw!$Q$37+InvulRegie[[#This Row],[2027]]</f>
        <v>#DIV/0!</v>
      </c>
    </row>
    <row r="36" spans="1:9" ht="18.75" customHeight="1">
      <c r="A36" s="330"/>
      <c r="B36" s="75" t="s">
        <v>48</v>
      </c>
      <c r="C36" s="75" t="s">
        <v>49</v>
      </c>
      <c r="D36" s="78">
        <v>0</v>
      </c>
      <c r="E36" s="263" t="e">
        <f>InvulRegie[[#This Row],[Prijs excl. BTW]]*Tariefsopbouw!$I$37+InvulRegie[[#This Row],[Prijs excl. BTW]]</f>
        <v>#DIV/0!</v>
      </c>
      <c r="F36" s="263" t="e">
        <f>InvulRegie[[#This Row],[2024]]*Tariefsopbouw!$K$37+InvulRegie[[#This Row],[2024]]</f>
        <v>#DIV/0!</v>
      </c>
      <c r="G36" s="263" t="e">
        <f>InvulRegie[[#This Row],[2025]]*Tariefsopbouw!$M$37+InvulRegie[[#This Row],[2025]]</f>
        <v>#DIV/0!</v>
      </c>
      <c r="H36" s="263" t="e">
        <f>InvulRegie[[#This Row],[2026]]*Tariefsopbouw!$O$37+InvulRegie[[#This Row],[2026]]</f>
        <v>#DIV/0!</v>
      </c>
      <c r="I36" s="263" t="e">
        <f>InvulRegie[[#This Row],[2027]]*Tariefsopbouw!$Q$37+InvulRegie[[#This Row],[2027]]</f>
        <v>#DIV/0!</v>
      </c>
    </row>
    <row r="37" spans="1:9" ht="18.75" customHeight="1">
      <c r="A37" s="331" t="s">
        <v>207</v>
      </c>
      <c r="B37" s="75" t="s">
        <v>56</v>
      </c>
      <c r="C37" s="75" t="s">
        <v>237</v>
      </c>
      <c r="D37" s="78">
        <v>0</v>
      </c>
      <c r="E37" s="263" t="e">
        <f>InvulRegie[[#This Row],[Prijs excl. BTW]]*Tariefsopbouw!$I$37+InvulRegie[[#This Row],[Prijs excl. BTW]]</f>
        <v>#DIV/0!</v>
      </c>
      <c r="F37" s="263" t="e">
        <f>InvulRegie[[#This Row],[2024]]*Tariefsopbouw!$K$37+InvulRegie[[#This Row],[2024]]</f>
        <v>#DIV/0!</v>
      </c>
      <c r="G37" s="263" t="e">
        <f>InvulRegie[[#This Row],[2025]]*Tariefsopbouw!$M$37+InvulRegie[[#This Row],[2025]]</f>
        <v>#DIV/0!</v>
      </c>
      <c r="H37" s="263" t="e">
        <f>InvulRegie[[#This Row],[2026]]*Tariefsopbouw!$O$37+InvulRegie[[#This Row],[2026]]</f>
        <v>#DIV/0!</v>
      </c>
      <c r="I37" s="263" t="e">
        <f>InvulRegie[[#This Row],[2027]]*Tariefsopbouw!$Q$37+InvulRegie[[#This Row],[2027]]</f>
        <v>#DIV/0!</v>
      </c>
    </row>
    <row r="38" spans="1:9" ht="18.75" customHeight="1">
      <c r="A38" s="332"/>
      <c r="B38" s="75" t="s">
        <v>57</v>
      </c>
      <c r="C38" s="75" t="s">
        <v>58</v>
      </c>
      <c r="D38" s="78">
        <v>0</v>
      </c>
      <c r="E38" s="263" t="e">
        <f>InvulRegie[[#This Row],[Prijs excl. BTW]]*Tariefsopbouw!$I$37+InvulRegie[[#This Row],[Prijs excl. BTW]]</f>
        <v>#DIV/0!</v>
      </c>
      <c r="F38" s="263" t="e">
        <f>InvulRegie[[#This Row],[2024]]*Tariefsopbouw!$K$37+InvulRegie[[#This Row],[2024]]</f>
        <v>#DIV/0!</v>
      </c>
      <c r="G38" s="263" t="e">
        <f>InvulRegie[[#This Row],[2025]]*Tariefsopbouw!$M$37+InvulRegie[[#This Row],[2025]]</f>
        <v>#DIV/0!</v>
      </c>
      <c r="H38" s="263" t="e">
        <f>InvulRegie[[#This Row],[2026]]*Tariefsopbouw!$O$37+InvulRegie[[#This Row],[2026]]</f>
        <v>#DIV/0!</v>
      </c>
      <c r="I38" s="263" t="e">
        <f>InvulRegie[[#This Row],[2027]]*Tariefsopbouw!$Q$37+InvulRegie[[#This Row],[2027]]</f>
        <v>#DIV/0!</v>
      </c>
    </row>
    <row r="39" spans="1:9" ht="18.75" customHeight="1">
      <c r="A39" s="332"/>
      <c r="B39" s="75" t="s">
        <v>208</v>
      </c>
      <c r="C39" s="75" t="s">
        <v>58</v>
      </c>
      <c r="D39" s="78">
        <v>0</v>
      </c>
      <c r="E39" s="263" t="e">
        <f>InvulRegie[[#This Row],[Prijs excl. BTW]]*Tariefsopbouw!$I$37+InvulRegie[[#This Row],[Prijs excl. BTW]]</f>
        <v>#DIV/0!</v>
      </c>
      <c r="F39" s="263" t="e">
        <f>InvulRegie[[#This Row],[2024]]*Tariefsopbouw!$K$37+InvulRegie[[#This Row],[2024]]</f>
        <v>#DIV/0!</v>
      </c>
      <c r="G39" s="263" t="e">
        <f>InvulRegie[[#This Row],[2025]]*Tariefsopbouw!$M$37+InvulRegie[[#This Row],[2025]]</f>
        <v>#DIV/0!</v>
      </c>
      <c r="H39" s="263" t="e">
        <f>InvulRegie[[#This Row],[2026]]*Tariefsopbouw!$O$37+InvulRegie[[#This Row],[2026]]</f>
        <v>#DIV/0!</v>
      </c>
      <c r="I39" s="263" t="e">
        <f>InvulRegie[[#This Row],[2027]]*Tariefsopbouw!$Q$37+InvulRegie[[#This Row],[2027]]</f>
        <v>#DIV/0!</v>
      </c>
    </row>
    <row r="40" spans="1:9" ht="18.75" customHeight="1">
      <c r="A40" s="333"/>
      <c r="B40" s="75" t="s">
        <v>209</v>
      </c>
      <c r="C40" s="75" t="s">
        <v>58</v>
      </c>
      <c r="D40" s="78">
        <v>0</v>
      </c>
      <c r="E40" s="263" t="e">
        <f>InvulRegie[[#This Row],[Prijs excl. BTW]]*Tariefsopbouw!$I$37+InvulRegie[[#This Row],[Prijs excl. BTW]]</f>
        <v>#DIV/0!</v>
      </c>
      <c r="F40" s="263" t="e">
        <f>InvulRegie[[#This Row],[2024]]*Tariefsopbouw!$K$37+InvulRegie[[#This Row],[2024]]</f>
        <v>#DIV/0!</v>
      </c>
      <c r="G40" s="263" t="e">
        <f>InvulRegie[[#This Row],[2025]]*Tariefsopbouw!$M$37+InvulRegie[[#This Row],[2025]]</f>
        <v>#DIV/0!</v>
      </c>
      <c r="H40" s="263" t="e">
        <f>InvulRegie[[#This Row],[2026]]*Tariefsopbouw!$O$37+InvulRegie[[#This Row],[2026]]</f>
        <v>#DIV/0!</v>
      </c>
      <c r="I40" s="263" t="e">
        <f>InvulRegie[[#This Row],[2027]]*Tariefsopbouw!$Q$37+InvulRegie[[#This Row],[2027]]</f>
        <v>#DIV/0!</v>
      </c>
    </row>
    <row r="41" spans="1:9" s="167" customFormat="1" ht="26.25" customHeight="1">
      <c r="A41" s="166"/>
      <c r="B41" s="258" t="s">
        <v>33</v>
      </c>
      <c r="C41" s="258"/>
      <c r="D41" s="258"/>
      <c r="E41" s="258"/>
      <c r="F41" s="258"/>
      <c r="G41" s="258"/>
      <c r="H41" s="258"/>
      <c r="I41" s="258"/>
    </row>
    <row r="76" spans="1:1" ht="18.75" customHeight="1">
      <c r="A76" s="72"/>
    </row>
    <row r="77" spans="1:1" ht="18.75" customHeight="1">
      <c r="A77" s="72"/>
    </row>
    <row r="78" spans="1:1" ht="18.75" customHeight="1">
      <c r="A78" s="72"/>
    </row>
    <row r="79" spans="1:1" ht="18.75" customHeight="1">
      <c r="A79" s="72"/>
    </row>
    <row r="80" spans="1:1" ht="18.75" customHeight="1">
      <c r="A80" s="72"/>
    </row>
    <row r="81" spans="1:1" ht="18.75" customHeight="1">
      <c r="A81" s="72"/>
    </row>
    <row r="82" spans="1:1" ht="18.75" customHeight="1">
      <c r="A82" s="72"/>
    </row>
    <row r="83" spans="1:1" ht="18.75" customHeight="1">
      <c r="A83" s="72"/>
    </row>
    <row r="84" spans="1:1" ht="18.75" customHeight="1">
      <c r="A84" s="72"/>
    </row>
    <row r="85" spans="1:1" ht="18.75" customHeight="1">
      <c r="A85" s="72"/>
    </row>
    <row r="86" spans="1:1" ht="18.75" customHeight="1">
      <c r="A86" s="72"/>
    </row>
    <row r="87" spans="1:1" ht="18.75" customHeight="1">
      <c r="A87" s="72"/>
    </row>
    <row r="88" spans="1:1" ht="18.75" customHeight="1">
      <c r="A88" s="72"/>
    </row>
  </sheetData>
  <mergeCells count="9">
    <mergeCell ref="A9:A14"/>
    <mergeCell ref="A1:D1"/>
    <mergeCell ref="A2:D2"/>
    <mergeCell ref="A32:A36"/>
    <mergeCell ref="A37:A40"/>
    <mergeCell ref="A24:A28"/>
    <mergeCell ref="A29:A31"/>
    <mergeCell ref="A15:A21"/>
    <mergeCell ref="A22:A23"/>
  </mergeCells>
  <phoneticPr fontId="18" type="noConversion"/>
  <pageMargins left="0.70866141732283472" right="0.70866141732283472" top="0.74803149606299213" bottom="0.74803149606299213" header="0.31496062992125984" footer="0.31496062992125984"/>
  <pageSetup paperSize="9" scale="57" fitToHeight="0" orientation="portrait" r:id="rId1"/>
  <headerFooter alignWithMargins="0">
    <oddFooter>&amp;L&amp;F&amp;C&amp;D&amp;R&amp;A</oddFooter>
  </headerFooter>
  <rowBreaks count="1" manualBreakCount="1">
    <brk id="90"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3" ma:contentTypeDescription="Een nieuw document maken." ma:contentTypeScope="" ma:versionID="98080e8d0335049c4c9d07ed5bbb2931">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a7bdbd7908ef4cf4b1dd8cfb59281212"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F42007-A804-4F44-AC9D-FC808789840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233D99E-ECD5-4C42-B5BA-B8D8A9305B72}">
  <ds:schemaRefs>
    <ds:schemaRef ds:uri="http://schemas.microsoft.com/sharepoint/v3/contenttype/forms"/>
  </ds:schemaRefs>
</ds:datastoreItem>
</file>

<file path=customXml/itemProps3.xml><?xml version="1.0" encoding="utf-8"?>
<ds:datastoreItem xmlns:ds="http://schemas.openxmlformats.org/officeDocument/2006/customXml" ds:itemID="{AF5384E5-B583-4399-86C4-98AFB0234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9</vt:i4>
      </vt:variant>
    </vt:vector>
  </HeadingPairs>
  <TitlesOfParts>
    <vt:vector size="19" baseType="lpstr">
      <vt:lpstr>Opleverstaat dagelijks</vt:lpstr>
      <vt:lpstr>Werkprogramma periodiek</vt:lpstr>
      <vt:lpstr>Werkprogramma dieptereinigen</vt:lpstr>
      <vt:lpstr>Tariefsopbouw</vt:lpstr>
      <vt:lpstr>Prestatiefactoren</vt:lpstr>
      <vt:lpstr>Ruimtestaat</vt:lpstr>
      <vt:lpstr>Vloeronderhoud</vt:lpstr>
      <vt:lpstr>Extra werkzaamheden</vt:lpstr>
      <vt:lpstr>Regie en afroep</vt:lpstr>
      <vt:lpstr>Totalisatie</vt:lpstr>
      <vt:lpstr>'Extra werkzaamheden'!Afdrukbereik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dieptereinigen'!Afdrukbereik</vt:lpstr>
      <vt:lpstr>'Ruimtestaat'!Afdruktitels</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Mark Reichenfeld</dc:creator>
  <cp:lastModifiedBy>Marlijn Dijkhuis | Inkada Inkoop &amp; Advies</cp:lastModifiedBy>
  <cp:lastPrinted>2018-06-11T07:01:37Z</cp:lastPrinted>
  <dcterms:created xsi:type="dcterms:W3CDTF">1999-03-23T11:24:21Z</dcterms:created>
  <dcterms:modified xsi:type="dcterms:W3CDTF">2022-03-01T08:23:35Z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